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425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<sst xmlns="http://schemas.openxmlformats.org/spreadsheetml/2006/main" count="1280" uniqueCount="704">
  <si>
    <t>Авторемонтные материалы Reoflex</t>
  </si>
  <si>
    <t>Штрих-код</t>
  </si>
  <si>
    <t>Артикул</t>
  </si>
  <si>
    <t>Наименование продукции</t>
  </si>
  <si>
    <t>Упаковка</t>
  </si>
  <si>
    <t>Количество упаковок в коробке</t>
  </si>
  <si>
    <t>Цена с НДС, EURO/шт.          (1 EURO = 105 руб.)</t>
  </si>
  <si>
    <t>Цена с НДС, со скидкой EURO/шт.          (1 EURO = 105 руб.)</t>
  </si>
  <si>
    <t>Заказ количество шт.</t>
  </si>
  <si>
    <t>Сумма с НДС, в EURO  (1 EURO= 105 руб.)</t>
  </si>
  <si>
    <t>Вес</t>
  </si>
  <si>
    <t>Объем</t>
  </si>
  <si>
    <t>Шпатлёвки</t>
  </si>
  <si>
    <t>RX S-01/600</t>
  </si>
  <si>
    <t>Шпатлевка универсальная (0,6 кг) Reoflex (Multi)</t>
  </si>
  <si>
    <t>0,6 кг</t>
  </si>
  <si>
    <t>ВРЕМЕННО НЕДОСТУПЕН ДЛЯ ЗАКАЗА!!!</t>
  </si>
  <si>
    <t>RX S-01/1000</t>
  </si>
  <si>
    <t>Шпатлевка универсальная (1 кг) Reoflex (Multi)</t>
  </si>
  <si>
    <t xml:space="preserve">1 кг </t>
  </si>
  <si>
    <t>RX S-01/2000</t>
  </si>
  <si>
    <t>Шпатлевка универсальная (2 кг) Reoflex (Multi)</t>
  </si>
  <si>
    <t xml:space="preserve">2 кг </t>
  </si>
  <si>
    <t>RX S-02/600</t>
  </si>
  <si>
    <t>Шпатлевка мелкодисперсная (0,6 кг) Reoflex (Soft)</t>
  </si>
  <si>
    <t>RX S-02/1000</t>
  </si>
  <si>
    <t>Шпатлевка мелкодисперсная (1 кг) Reoflex (Soft)</t>
  </si>
  <si>
    <t>1 кг</t>
  </si>
  <si>
    <t>RX S-02/2000</t>
  </si>
  <si>
    <t>Шпатлевка мелкодисперсная (2 кг) Reoflex (Soft)</t>
  </si>
  <si>
    <t>RX S-04/600</t>
  </si>
  <si>
    <t>Шпатлевка с алюминием (0,6 кг) Reoflex (Alumet)</t>
  </si>
  <si>
    <t xml:space="preserve">0,6 кг </t>
  </si>
  <si>
    <t>RX S-04/1000</t>
  </si>
  <si>
    <t>Шпатлевка с алюминием (1 кг) Reoflex (Alumet)</t>
  </si>
  <si>
    <t>RX S-04/2000</t>
  </si>
  <si>
    <t>Шпатлевка с алюминием (2 кг) Reoflex (Alumet)</t>
  </si>
  <si>
    <t>2 кг</t>
  </si>
  <si>
    <t>RX S-05/500</t>
  </si>
  <si>
    <t>Шпатлевка со стекловолокном (0,5 кг) Reoflex (Glass fiber)</t>
  </si>
  <si>
    <t xml:space="preserve">0,5 кг </t>
  </si>
  <si>
    <t>RX S-05/1000</t>
  </si>
  <si>
    <t>Шпатлевка со стекловолокном (1 кг) Reoflex (Glass fiber)</t>
  </si>
  <si>
    <t>RX S-05/2000</t>
  </si>
  <si>
    <t>Шпатлевка со стекловолокном (2 кг) Reoflex (Glass fiber)</t>
  </si>
  <si>
    <t>RX S-08/500</t>
  </si>
  <si>
    <t>Шпатлевка с углеволокном (0,5 кг) Reoflex (Flex Carbon)</t>
  </si>
  <si>
    <t>RX S-08/1000</t>
  </si>
  <si>
    <t>Шпатлевка с углеволокном (1 кг) Reoflex (Flex Carbon)</t>
  </si>
  <si>
    <t>RX S-08/2000</t>
  </si>
  <si>
    <t>Шпатлевка с углеволокном (2 кг) Reoflex (Flex Carbon)</t>
  </si>
  <si>
    <t>RX F-05/800</t>
  </si>
  <si>
    <t>Распыляемая шпатлевка (0,8 л) Reoflex (Spray)</t>
  </si>
  <si>
    <t>0,8 л</t>
  </si>
  <si>
    <t>Адгезионные грунты</t>
  </si>
  <si>
    <t>RX P-03/800</t>
  </si>
  <si>
    <t>Эпоксидный грунт (0,8 л) Reoflex серый</t>
  </si>
  <si>
    <t xml:space="preserve">0,8 л </t>
  </si>
  <si>
    <t>RX P-03/4000</t>
  </si>
  <si>
    <t>Эпоксидный грунт (4 л) Reoflex (серый)</t>
  </si>
  <si>
    <t xml:space="preserve">4 л </t>
  </si>
  <si>
    <t>RX P-03/520</t>
  </si>
  <si>
    <t>Эпоксидный грунт, аэрозоль (520 мл) Reoflex (серый)</t>
  </si>
  <si>
    <t>520 мл</t>
  </si>
  <si>
    <t>RX P-02/800</t>
  </si>
  <si>
    <t>Фосфатирующий грунт CF 1+1 (0,8 л) Reoflex желтый</t>
  </si>
  <si>
    <t>RX P-04/800</t>
  </si>
  <si>
    <t>Фосфатирующий грунт CF (0,8 л) Reoflex серый</t>
  </si>
  <si>
    <t>RX P-04/520</t>
  </si>
  <si>
    <t>Грунт для прошлифовки, аэрозоль (520 мл) Reoflex серый</t>
  </si>
  <si>
    <t>RX P-01/1000</t>
  </si>
  <si>
    <t>Алкидный грунт (1 кг) Reoflex серый</t>
  </si>
  <si>
    <t>RX P-08/500</t>
  </si>
  <si>
    <t>Изолятор (0,5 л) Reoflex</t>
  </si>
  <si>
    <t>0,5 л</t>
  </si>
  <si>
    <t>RX P-05/500</t>
  </si>
  <si>
    <t>Грунт по пластмассе (0,5 л) Reoflex прозрачный</t>
  </si>
  <si>
    <t>Грунт по пластмассе (0,5 л) Reoflex серый</t>
  </si>
  <si>
    <t>RX P-05Т/520</t>
  </si>
  <si>
    <t>Грунт по пластмассе, аэрозоль (520 мл) Reoflex прозрачный</t>
  </si>
  <si>
    <t>RX P-05G/520</t>
  </si>
  <si>
    <t>Грунт по пластмассе, аэрозоль (520 мл) Reoflex серый</t>
  </si>
  <si>
    <t>RX P-06/800</t>
  </si>
  <si>
    <t>Грунт по пластмассе 5+1 (0,8 л) Reoflex серый</t>
  </si>
  <si>
    <t>Адгезионные грунты Комплекты</t>
  </si>
  <si>
    <t>0107116120286</t>
  </si>
  <si>
    <t>Эпоксидный грунт (0,8 л) Reoflex серый, комплект с отвердителем</t>
  </si>
  <si>
    <t>0,8 л + 0,2 л</t>
  </si>
  <si>
    <t>0107116127209</t>
  </si>
  <si>
    <t>Эпоксидный грунт (4 л) Reoflex серый, комплект с отвердителем</t>
  </si>
  <si>
    <t>4 л + 1 л</t>
  </si>
  <si>
    <t>0107116120200</t>
  </si>
  <si>
    <t>Фосфатирующий грунт CF 1+1 (0,8 л) Reoflex желтый, комплект с отвердителем</t>
  </si>
  <si>
    <t xml:space="preserve">0,8 л + 0,8 л </t>
  </si>
  <si>
    <t>0107116120866</t>
  </si>
  <si>
    <t>Грунт по пластмассе 5+1 (0,8 л) Reoflex серый, комплект с отвердителем</t>
  </si>
  <si>
    <t>0,8 л + 0,16 л</t>
  </si>
  <si>
    <t>Грунты</t>
  </si>
  <si>
    <t>RX F-04/500</t>
  </si>
  <si>
    <t>Акриловый грунт 3+1 (0,5 л) Reoflex белый</t>
  </si>
  <si>
    <t xml:space="preserve">0,5 л </t>
  </si>
  <si>
    <t>Акриловый грунт 3+1 (0,5 л) Reoflex серый</t>
  </si>
  <si>
    <t>Акриловый грунт 3+1 (0,5 л) Reoflex черный</t>
  </si>
  <si>
    <t>RX F-04/1000</t>
  </si>
  <si>
    <t>Акриловый грунт 3+1 (1 л) Reoflex белый</t>
  </si>
  <si>
    <t xml:space="preserve">1 л </t>
  </si>
  <si>
    <t>Акриловый грунт 3+1 (1 л) Reoflex серый</t>
  </si>
  <si>
    <t>1 л</t>
  </si>
  <si>
    <t>Акриловый грунт 3+1 (1 л) Reoflex черный</t>
  </si>
  <si>
    <t>RX F-06/800</t>
  </si>
  <si>
    <t>Акриловый грунт 4+1 (0,8 л) Reoflex белый</t>
  </si>
  <si>
    <t>Акриловый грунт 4+1 (0,8 л) Reoflex красный</t>
  </si>
  <si>
    <t>Акриловый грунт 4+1 (0,8 л) Reoflex серый</t>
  </si>
  <si>
    <t>Акриловый грунт 4+1 (0,8 л) Reoflex черный</t>
  </si>
  <si>
    <t>RX F-06/4000</t>
  </si>
  <si>
    <t>Акриловый грунт 4+1 (4 л) Reoflex белый</t>
  </si>
  <si>
    <t>Акриловый грунт 4+1 (4 л) Reoflex серый</t>
  </si>
  <si>
    <t>4607116125755</t>
  </si>
  <si>
    <t>Акриловый грунт 4+1 (4 л) Reoflex черный</t>
  </si>
  <si>
    <t>RX F-01/800</t>
  </si>
  <si>
    <t>Грунт "прямо на металл" 4+1 (0,8 л) Reoflex белый</t>
  </si>
  <si>
    <t>Грунт "прямо на металл" 4+1 (0,8 л) Reoflex серый</t>
  </si>
  <si>
    <t>Грунт "прямо на металл" 4+1 (0,8 л) Reoflex черный</t>
  </si>
  <si>
    <t>RX F-03/800</t>
  </si>
  <si>
    <t>Акриловый грунт 5+1 (0,8 л) Reoflex белый</t>
  </si>
  <si>
    <t>Акриловый грунт 5+1 (0,8 л) Reoflex красный</t>
  </si>
  <si>
    <t>Акриловый грунт 5+1 (0,8 л) Reoflex серый</t>
  </si>
  <si>
    <t>Акриловый грунт 5+1 (0,8 л) Reoflex черный</t>
  </si>
  <si>
    <t>4607116125700</t>
  </si>
  <si>
    <t>RX F-03/2500</t>
  </si>
  <si>
    <t>Акриловый грунт 5+1 (2,5 л) Reoflex белый</t>
  </si>
  <si>
    <t xml:space="preserve">2,5 л </t>
  </si>
  <si>
    <t>Акриловый грунт 5+1 (2,5 л) Reoflex серый</t>
  </si>
  <si>
    <t>4607116125717</t>
  </si>
  <si>
    <t>Акриловый грунт 5+1 (2,5 л) Reoflex черный</t>
  </si>
  <si>
    <t>RX F-02/1000</t>
  </si>
  <si>
    <t>Акриловый грунт (1 кг) Reoflex белый</t>
  </si>
  <si>
    <t>Акриловый грунт (1 кг) Reoflex серый</t>
  </si>
  <si>
    <t>Акриловый грунт (1 кг) Reoflex черный</t>
  </si>
  <si>
    <t>RX F-02/3700</t>
  </si>
  <si>
    <t>Акриловый грунт (3,7 кг) Reoflex белый</t>
  </si>
  <si>
    <t>3,7 кг</t>
  </si>
  <si>
    <t>Акриловый грунт (3,7 кг) Reoflex серый</t>
  </si>
  <si>
    <t>Акриловый грунт (3,7 кг) Reoflex черный</t>
  </si>
  <si>
    <t>RX F-02/520</t>
  </si>
  <si>
    <t>Акриловый грунт, аэрозоль (520 мл) Reoflex серый</t>
  </si>
  <si>
    <t>Акриловый грунт, аэрозоль (520 мл) Reoflex черный</t>
  </si>
  <si>
    <t>RX F-07/800</t>
  </si>
  <si>
    <t>Быстрый грунт UHS (0,8 л) Reoflex светло-серый</t>
  </si>
  <si>
    <t>Быстрый грунт UHS (0,8 л) Reoflex черный</t>
  </si>
  <si>
    <t>Грунты Комплекты</t>
  </si>
  <si>
    <t>0107116123836</t>
  </si>
  <si>
    <t>Акриловый грунт 3+1 (0,5 л) Reoflex белый, комплект с отвердителем</t>
  </si>
  <si>
    <t>0,5 л + 0,17 л</t>
  </si>
  <si>
    <t>0107116120545</t>
  </si>
  <si>
    <t>Акриловый грунт 3+1 (0,5 л) Reoflex серый, комплект с отвердителем</t>
  </si>
  <si>
    <t>0107116123843</t>
  </si>
  <si>
    <t>Акриловый грунт 3+1 (0,5 л) Reoflex черный, комплект с отвердителем</t>
  </si>
  <si>
    <t>0107116123744</t>
  </si>
  <si>
    <t>Акриловый грунт 3+1 (1 л) Reoflex белый, комплект с отвердителем</t>
  </si>
  <si>
    <t>1 л + 0,34 л</t>
  </si>
  <si>
    <t>0107116120248</t>
  </si>
  <si>
    <t>Акриловый грунт 3+1 (1 л) Reoflex серый, комплект с отвердителем</t>
  </si>
  <si>
    <t>0107116123751</t>
  </si>
  <si>
    <t>Акриловый грунт 3+1 (1 л) Reoflex черный, комплект с отвердителем</t>
  </si>
  <si>
    <t>0107116123713</t>
  </si>
  <si>
    <t>Акриловый грунт 4+1 (0,8 л) Reoflex белый, комплект с отвердителем</t>
  </si>
  <si>
    <t>0107116123720</t>
  </si>
  <si>
    <t>Акриловый грунт 4+1 (0,8 л) Reoflex красный, комплект с отвердителем</t>
  </si>
  <si>
    <t>0107116120897</t>
  </si>
  <si>
    <t>Акриловый грунт 4+1 (0,8 л) Reoflex серый, комплект с отвердителем</t>
  </si>
  <si>
    <t>0107116123737</t>
  </si>
  <si>
    <t>Акриловый грунт 4+1 (0,8 л) Reoflex черный, комплект с отвердителем</t>
  </si>
  <si>
    <t>0107116125748</t>
  </si>
  <si>
    <t>Акриловый грунт 4+1 (4 л) Reoflex белый, комплект с отвердителем</t>
  </si>
  <si>
    <t>0107116123409</t>
  </si>
  <si>
    <t>Акриловый грунт 4+1 (4 л) Reoflex серый, комплект с отвердителем</t>
  </si>
  <si>
    <t>0107116125755</t>
  </si>
  <si>
    <t>Акриловый грунт 4+1 (4 л) Reoflex черный, комплект с отвердителем</t>
  </si>
  <si>
    <t>0107116123799</t>
  </si>
  <si>
    <t>Грунт "прямо на металл" 4+1 (0,8 л) Reoflex белый, комплект с отвердителем</t>
  </si>
  <si>
    <t>0107116120033</t>
  </si>
  <si>
    <t>Грунт "прямо на металл" 4+1 (0,8 л) Reoflex серый, комплект с отвердителем</t>
  </si>
  <si>
    <t>0107116123812</t>
  </si>
  <si>
    <t>Грунт "прямо на металл" 4+1 (0,8 л) Reoflex черный, комплект с отвердителем</t>
  </si>
  <si>
    <t>0107116123768</t>
  </si>
  <si>
    <t>Акриловый грунт 5+1 (0,8 л) Reoflex белый, комплект с отвердителем</t>
  </si>
  <si>
    <t>0107116123775</t>
  </si>
  <si>
    <t>Акриловый грунт 5+1 (0,8 л) Reoflex красный, комплект с отвердителем</t>
  </si>
  <si>
    <t>0107116120262</t>
  </si>
  <si>
    <t>Акриловый грунт 5+1 (0,8 л) Reoflex серый, комплект с отвердителем</t>
  </si>
  <si>
    <t>0107116123782</t>
  </si>
  <si>
    <t>Акриловый грунт 5+1 (0,8 л) Reoflex черный, комплект с отвердителем</t>
  </si>
  <si>
    <t>0107116125700</t>
  </si>
  <si>
    <t>Акриловый грунт 5+1 (2,5 л) Reoflex белый, комплект с отвердителем</t>
  </si>
  <si>
    <t>2,5 л + 0,5 л</t>
  </si>
  <si>
    <t>0107116121160</t>
  </si>
  <si>
    <t>Акриловый грунт 5+1 (2,5 л) Reoflex серый, комплект с отвердителем</t>
  </si>
  <si>
    <t>0107116125717</t>
  </si>
  <si>
    <t>Акриловый грунт 5+1 (2,5 л) Reoflex черный, комплект с отвердителем</t>
  </si>
  <si>
    <t>0107116124864</t>
  </si>
  <si>
    <t>Быстрый грунт UHS (0,8 л) Reoflex светло-серый, комплект с отвердителем</t>
  </si>
  <si>
    <t>0107116124857</t>
  </si>
  <si>
    <t>Быстрый грунт UHS (0,8 л) Reoflex черный, комплект с отвердителем</t>
  </si>
  <si>
    <t>Лаки</t>
  </si>
  <si>
    <t>4607116126639</t>
  </si>
  <si>
    <t>RX C-14/1000</t>
  </si>
  <si>
    <t>Акриловый лак HS Superio (1 л) Reoflex</t>
  </si>
  <si>
    <t>1л</t>
  </si>
  <si>
    <t>4607116127254</t>
  </si>
  <si>
    <t>RX C-14/5000</t>
  </si>
  <si>
    <t>Акриловый лак HS Superio (5 л) Reoflex</t>
  </si>
  <si>
    <t>5 л</t>
  </si>
  <si>
    <t>4607116123317</t>
  </si>
  <si>
    <t>RX C-02/500</t>
  </si>
  <si>
    <t>Акриловый лак HS (0,5 л) Reoflex</t>
  </si>
  <si>
    <t>4607116120309</t>
  </si>
  <si>
    <t>RX C-02/1000</t>
  </si>
  <si>
    <t>Акриловый лак HS (1 л) Reoflex</t>
  </si>
  <si>
    <t>4607116120651</t>
  </si>
  <si>
    <t>RX C-02/5000</t>
  </si>
  <si>
    <t>Акриловый лак HS (5 л) Reoflex</t>
  </si>
  <si>
    <t>4607116126622</t>
  </si>
  <si>
    <t>RX C-12/1000</t>
  </si>
  <si>
    <t>Акриловый лак SR (1 л) Reoflex</t>
  </si>
  <si>
    <t>4607116127261</t>
  </si>
  <si>
    <t>RX C-12/5000</t>
  </si>
  <si>
    <t>Акриловый лак SR (5 л) Reoflex</t>
  </si>
  <si>
    <t>5л</t>
  </si>
  <si>
    <t>4607116123300</t>
  </si>
  <si>
    <t>RX C-01/500</t>
  </si>
  <si>
    <t>Акриловый лак MS (0,5 л) Reoflex</t>
  </si>
  <si>
    <t>4607116120224</t>
  </si>
  <si>
    <t>RX C-01/1000</t>
  </si>
  <si>
    <t>Акриловый лак MS (1 л) Reoflex</t>
  </si>
  <si>
    <t>4607116120323</t>
  </si>
  <si>
    <t>RX C-01/5000</t>
  </si>
  <si>
    <t>Акриловый лак MS (5 л) Reoflex</t>
  </si>
  <si>
    <t>4607116121368</t>
  </si>
  <si>
    <t>RX C-05/500</t>
  </si>
  <si>
    <t>Акриловый лак Optim (0,5 л) Reoflex</t>
  </si>
  <si>
    <t>ДОСТУПНО ДЛЯ ЗАКАЗА!!!</t>
  </si>
  <si>
    <t>4607116121351</t>
  </si>
  <si>
    <t>RX C-05/1000</t>
  </si>
  <si>
    <t>Акриловый лак Optim (1 л) Reoflex</t>
  </si>
  <si>
    <t>4607116121634</t>
  </si>
  <si>
    <t>RX C-05/5000</t>
  </si>
  <si>
    <t>Акриловый лак Optim (5 л) Reoflex</t>
  </si>
  <si>
    <t>4607116120712</t>
  </si>
  <si>
    <t>RX C-03/1000</t>
  </si>
  <si>
    <t>Акриловый лак Express 2+1 (1 л) Reoflex</t>
  </si>
  <si>
    <t>4607116121313</t>
  </si>
  <si>
    <t>RX C-03/5000</t>
  </si>
  <si>
    <t>Акриловый лак Express 2+1 (5 л) Reoflex</t>
  </si>
  <si>
    <t>4607116120552</t>
  </si>
  <si>
    <t>RX C-06/500</t>
  </si>
  <si>
    <t>Акриловый лак Express 3+1 (0,5 л) Reoflex</t>
  </si>
  <si>
    <t>4607116125441</t>
  </si>
  <si>
    <t>RX C-07/500</t>
  </si>
  <si>
    <t>Супербыстрый лак (0,5 л) Reoflex</t>
  </si>
  <si>
    <t>4607116124833</t>
  </si>
  <si>
    <t>RX C-07/1000</t>
  </si>
  <si>
    <t>Супербыстрый лак (1 л) Reoflex</t>
  </si>
  <si>
    <t>4607116125281</t>
  </si>
  <si>
    <t>RX C-07/5000</t>
  </si>
  <si>
    <t>Супербыстрый лак (5 л) Reoflex</t>
  </si>
  <si>
    <t>RX C-04/520</t>
  </si>
  <si>
    <t>Акриловый лак, аэрозоль (520 мл) Reoflex прозрачный</t>
  </si>
  <si>
    <t>Лаки Комплекты</t>
  </si>
  <si>
    <t>0107116126639</t>
  </si>
  <si>
    <t>Акриловый лак HS Superio (1 л) Reoflex, комплект с отвердителем HS Professional</t>
  </si>
  <si>
    <t xml:space="preserve">1 л + 0,5 л </t>
  </si>
  <si>
    <t>0107116127254</t>
  </si>
  <si>
    <t>Акриловый лак HS Superio (5 л) Reoflex, комплект с отвердителем HS Professional</t>
  </si>
  <si>
    <t>5 л + 2,5 л</t>
  </si>
  <si>
    <t>0107116123317</t>
  </si>
  <si>
    <t>Акриловый лак HS (0,5 л) Reoflex, комплект с отвердителем</t>
  </si>
  <si>
    <t xml:space="preserve">0,5 л + 0,25 л </t>
  </si>
  <si>
    <t>0107116120309</t>
  </si>
  <si>
    <t>Акриловый лак HS (1 л) Reoflex, комплект с отвердителем</t>
  </si>
  <si>
    <t>0107116120651</t>
  </si>
  <si>
    <t>Акриловый лак HS (5 л) Reoflex, комплект с отвердителем</t>
  </si>
  <si>
    <t>0107116126622</t>
  </si>
  <si>
    <t>Акриловый лак SR (1 л) Reoflex, комплект с отвердителем MS</t>
  </si>
  <si>
    <t>0107116127261</t>
  </si>
  <si>
    <t>Акриловый лак SR (5 л) Reoflex, комплект с отвердителем MS</t>
  </si>
  <si>
    <t>0107116123300</t>
  </si>
  <si>
    <t>Акриловый лак MS (0,5 л) Reoflex, комплект с отвердителем</t>
  </si>
  <si>
    <t>0107116120224</t>
  </si>
  <si>
    <t>Акриловый лак MS (1 л) Reoflex, комплект с отвердителем</t>
  </si>
  <si>
    <t>0107116120323</t>
  </si>
  <si>
    <t>Акриловый лак MS (5 л) Reoflex, комплект с отвердителем</t>
  </si>
  <si>
    <t>0107116121368</t>
  </si>
  <si>
    <t>Акриловый лак Optim (0,5 л) Reoflex, комплект с отвердителем</t>
  </si>
  <si>
    <t>0,5 л + 0,25 л</t>
  </si>
  <si>
    <t>0107116121351</t>
  </si>
  <si>
    <t>Акриловый лак Optim (1 л) Reoflex, комплект с отвердителем</t>
  </si>
  <si>
    <t>0107116121634</t>
  </si>
  <si>
    <t>Акриловый лак Optim (5 л) Reoflex, комплект с отвердителем</t>
  </si>
  <si>
    <t>0107116120712</t>
  </si>
  <si>
    <t>Акриловый лак Express 2+1 (1 л) Reoflex, комплект с отвердителем</t>
  </si>
  <si>
    <t>0107116121313</t>
  </si>
  <si>
    <t>Акриловый лак Express 2+1 (5 л) Reoflex, комплект с отвердителем</t>
  </si>
  <si>
    <t>0107116120552</t>
  </si>
  <si>
    <t>Акриловый лак Express 3+1 (0,5 л) Reoflex, комплект с отвердителем</t>
  </si>
  <si>
    <t xml:space="preserve">0,5 л + 0,17 л </t>
  </si>
  <si>
    <t>0107116125441</t>
  </si>
  <si>
    <t>Супербыстрый лак (0,5 л) Reoflex, комплект с отвердителем</t>
  </si>
  <si>
    <t>0107116124833</t>
  </si>
  <si>
    <t>Супербыстрый лак (1 л) Reoflex, комплект с отвердителем</t>
  </si>
  <si>
    <t>0107116125281</t>
  </si>
  <si>
    <t>Супербыстрый лак (5 л) Reoflex, комплект с отвердителем</t>
  </si>
  <si>
    <t xml:space="preserve">5 л + 2,5 л </t>
  </si>
  <si>
    <t>Защитные материалы</t>
  </si>
  <si>
    <t>RX N-09/1000</t>
  </si>
  <si>
    <t>Антигравий HS (1 л) Reoflex серый</t>
  </si>
  <si>
    <t>Антигравий HS (1 л) Reoflex черный</t>
  </si>
  <si>
    <t>RX N-09/520</t>
  </si>
  <si>
    <t>Антигравий HS, аэрозоль (520 мл) Reoflex серый</t>
  </si>
  <si>
    <t>Антигравий HS, аэрозоль (520 мл) Reoflex черный</t>
  </si>
  <si>
    <t>RX N-06/520</t>
  </si>
  <si>
    <t>Антигравий MS, аэрозоль (520 мл) Reoflex серый</t>
  </si>
  <si>
    <t>Антигравий MS, аэрозоль (520 мл) Reoflex черный</t>
  </si>
  <si>
    <t>RX P-10/800</t>
  </si>
  <si>
    <t>Шовный кистевой герметик (0,8 кг) Reoflex</t>
  </si>
  <si>
    <t>0,8 кг</t>
  </si>
  <si>
    <t>RX N-04/1000</t>
  </si>
  <si>
    <t>Полиэфирная смола (1 кг) Reoflex, комплект с отвердителем</t>
  </si>
  <si>
    <t>1 кг + 0,025 кг</t>
  </si>
  <si>
    <t>RX N-07/50</t>
  </si>
  <si>
    <t>Ремонтный комплект Reoflex (смола+стекломат+отвердитель)</t>
  </si>
  <si>
    <t>0,25кг+0,25м²+0,015 гр</t>
  </si>
  <si>
    <t>Специальные покрытия</t>
  </si>
  <si>
    <t>RX P-07/750</t>
  </si>
  <si>
    <t>Структурное покрытие (0,75 л) Reoflex черный</t>
  </si>
  <si>
    <t>0,75 л</t>
  </si>
  <si>
    <t>RX P-12/750</t>
  </si>
  <si>
    <t>Структурное покрытие мелкое зерно (0,75 л) Reoflex черный</t>
  </si>
  <si>
    <t>RX P-11/750</t>
  </si>
  <si>
    <t>Эмаль для бамперов (0,75 л) Reoflex графит</t>
  </si>
  <si>
    <t>Эмаль для бамперов (0,75 л) Reoflex серый</t>
  </si>
  <si>
    <t>Эмаль для бамперов (0,75 л) Reoflex черный</t>
  </si>
  <si>
    <t>RX P-11/520</t>
  </si>
  <si>
    <t>Эмаль для бамперов, аэрозоль (520 мл) Reoflex графит</t>
  </si>
  <si>
    <t>Эмаль для бамперов, аэрозоль (520 мл) Reoflex серый</t>
  </si>
  <si>
    <t>Эмаль для бамперов, аэрозоль (520 мл) Reoflex черный</t>
  </si>
  <si>
    <t>RX E-01/500</t>
  </si>
  <si>
    <t>Грунт-эмаль (0,5 кг) Reoflex черный матовый</t>
  </si>
  <si>
    <t>0,5 кг</t>
  </si>
  <si>
    <t>RX E-03/520</t>
  </si>
  <si>
    <t>Акриловая эмаль, аэрозоль (520 мл) Reoflex черный матовый</t>
  </si>
  <si>
    <t>RX E-02/520</t>
  </si>
  <si>
    <t>Эмаль для дисков, аэрозоль (520 мл) Reoflex серебристый</t>
  </si>
  <si>
    <t>Вспомогательные материалы</t>
  </si>
  <si>
    <t>RX H-33/200</t>
  </si>
  <si>
    <t>Отвердитель для эпоксидного грунта (0,2 л) Reoflex</t>
  </si>
  <si>
    <t>0,2 л</t>
  </si>
  <si>
    <t>RX H-33/1000</t>
  </si>
  <si>
    <t>Отвердитель для эпоксидного грунта (1 л) Reoflex</t>
  </si>
  <si>
    <t>RX H-22/800</t>
  </si>
  <si>
    <t>Кислотный отвердитель (0,8 л) Reoflex</t>
  </si>
  <si>
    <t>RX H-12/160</t>
  </si>
  <si>
    <t>Отвердитель для грунта по пластмассе 5+1 (0,16 л) Reoflex</t>
  </si>
  <si>
    <t>0,16 л</t>
  </si>
  <si>
    <t>RX H-14/170</t>
  </si>
  <si>
    <t>Отвердитель для грунта 3+1 (0,17 л) Reoflex</t>
  </si>
  <si>
    <t>0,17 л</t>
  </si>
  <si>
    <t>RX H-14/340</t>
  </si>
  <si>
    <t>Отвердитель для грунта 3+1 (0,34 л) Reoflex</t>
  </si>
  <si>
    <t>0,34 л</t>
  </si>
  <si>
    <t>RX H-11/200</t>
  </si>
  <si>
    <t>Отвердитель для грунта 4+1 (0,2 л) Reoflex</t>
  </si>
  <si>
    <t>RX H-11/1000</t>
  </si>
  <si>
    <t>Отвердитель для грунта 4+1 (1 л) Reoflex</t>
  </si>
  <si>
    <t>RX H-13/160</t>
  </si>
  <si>
    <t>Отвердитель для грунта 5+1 (0,16 л) Reoflex</t>
  </si>
  <si>
    <t>RX H-13/500</t>
  </si>
  <si>
    <t>Отвердитель для грунта 5+1 (0,5 л) Reoflex</t>
  </si>
  <si>
    <t>RX H-17/200</t>
  </si>
  <si>
    <t>Отвердитель для быстрого грунта UHS F90 (0,2 л) Reoflex</t>
  </si>
  <si>
    <t>RX H-07/250</t>
  </si>
  <si>
    <t>Отвердитель C90 (0,25 л) Reoflex</t>
  </si>
  <si>
    <t>0,25 л</t>
  </si>
  <si>
    <t>RX H-07/500</t>
  </si>
  <si>
    <t>Отвердитель C90 (0,5 л) Reoflex</t>
  </si>
  <si>
    <t>RX H-07/2500</t>
  </si>
  <si>
    <t>Отвердитель C90 (2,5 л) Reoflex</t>
  </si>
  <si>
    <t>2,5 л</t>
  </si>
  <si>
    <t>RX H-66/500</t>
  </si>
  <si>
    <t>Отвердитель HS Professional (0,5 л) Reoflex</t>
  </si>
  <si>
    <t>RX H-66/2500</t>
  </si>
  <si>
    <t>Отвердитель HS Professional (2,5 л) Reoflex</t>
  </si>
  <si>
    <t>RX H-02/250</t>
  </si>
  <si>
    <t>Отвердитель HS (0,25 л) Reoflex</t>
  </si>
  <si>
    <t>RX H-02/500</t>
  </si>
  <si>
    <t>Отвердитель HS (0,5 л) Reoflex</t>
  </si>
  <si>
    <t>RX H-02/2500</t>
  </si>
  <si>
    <t>Отвердитель HS (2,5 л) Reoflex</t>
  </si>
  <si>
    <t>RX H-01/250</t>
  </si>
  <si>
    <t>Отвердитель MS (0,25 л) Reoflex</t>
  </si>
  <si>
    <t>RX H-01/500</t>
  </si>
  <si>
    <t>Отвердитель MS (0,5 л) Reoflex</t>
  </si>
  <si>
    <t>RX H-01/2500</t>
  </si>
  <si>
    <t>Отвердитель MS (2,5 л) Reoflex</t>
  </si>
  <si>
    <t>RX Н-05/250</t>
  </si>
  <si>
    <t>Отвердитель Optim (0,25 л) Reoflex</t>
  </si>
  <si>
    <t>RX Н-05/500</t>
  </si>
  <si>
    <t>Отвердитель Optim (0,5 л) Reoflex</t>
  </si>
  <si>
    <t>RX Н-05/2500</t>
  </si>
  <si>
    <t>Отвердитель Optim (2,5 л) Reoflex</t>
  </si>
  <si>
    <t>RX H-06/170</t>
  </si>
  <si>
    <t>Отвердитель Express 3+1 (0,17 л) Reoflex</t>
  </si>
  <si>
    <t>RX H-03/500</t>
  </si>
  <si>
    <t>Отвердитель Express 2+1 (0,5 л) Reoflex</t>
  </si>
  <si>
    <t>RX H-03/2500</t>
  </si>
  <si>
    <t>Отвердитель Express 2+1 (2,5 л) Reoflex</t>
  </si>
  <si>
    <t>RX H-53/200</t>
  </si>
  <si>
    <t>Отвердитель для акриловой эмали (0,2 кг) Reoflex</t>
  </si>
  <si>
    <t>0,2 кг</t>
  </si>
  <si>
    <t>RX T-07/1000</t>
  </si>
  <si>
    <t>Разбавитель для эпоксидного грунта (1 л) Reoflex</t>
  </si>
  <si>
    <t>RX T-01/500</t>
  </si>
  <si>
    <t>Разбавитель для акриловых ЛКМ (0,5 л) Reoflex</t>
  </si>
  <si>
    <t>RX T-01/1000</t>
  </si>
  <si>
    <t>Разбавитель для акриловых ЛКМ (1 л) Reoflex</t>
  </si>
  <si>
    <t>RX T-01/5000</t>
  </si>
  <si>
    <t>Разбавитель для акриловых ЛКМ (5 л) Reoflex</t>
  </si>
  <si>
    <t>RX T-02/1000</t>
  </si>
  <si>
    <t>Разбавитель для акриловых ЛКМ медленный (1 л) Reoflex</t>
  </si>
  <si>
    <t>RX T-02/5000</t>
  </si>
  <si>
    <t>Разбавитель для акриловых ЛКМ медленный (5 л) Reoflex</t>
  </si>
  <si>
    <t>RX T-04/500</t>
  </si>
  <si>
    <t>Разбавитель для металликов (0,5 л) Reoflex</t>
  </si>
  <si>
    <t>RX T-04/1000</t>
  </si>
  <si>
    <t>Разбавитель для металликов (1 л) Reoflex</t>
  </si>
  <si>
    <t>RX T-04/5000</t>
  </si>
  <si>
    <t>Разбавитель для металликов (5 л) Reoflex</t>
  </si>
  <si>
    <t>RX T-03/1000</t>
  </si>
  <si>
    <t>Разбавитель для металликов медленный (1 л) Reoflex</t>
  </si>
  <si>
    <t>RX T-03/5000</t>
  </si>
  <si>
    <t>Разбавитель для металликов медленный (5 л) Reoflex</t>
  </si>
  <si>
    <t>RX Т-06/500</t>
  </si>
  <si>
    <t>Разбавитель для переходов (0,5 л) Reoflex</t>
  </si>
  <si>
    <t>RX A-01/250</t>
  </si>
  <si>
    <t>Катализатор для акриловых ЛКМ (0,25 л) Reoflex</t>
  </si>
  <si>
    <t xml:space="preserve">0,25 л </t>
  </si>
  <si>
    <t>RX N-11/250</t>
  </si>
  <si>
    <t>Пластификатор (0,25 л) Reoflex</t>
  </si>
  <si>
    <t>RX N-10/1000</t>
  </si>
  <si>
    <t>Антисиликон (1 л) Reoflex стандарт</t>
  </si>
  <si>
    <t>RX N-10/5000</t>
  </si>
  <si>
    <t>Антисиликон (5 л) Reoflex стандарт</t>
  </si>
  <si>
    <t>Эмали базовые</t>
  </si>
  <si>
    <t>RX B-01/1000</t>
  </si>
  <si>
    <t>Эмаль базовая (1 л) Reoflex Audi/VW I7F Cinza urano</t>
  </si>
  <si>
    <t>Эмаль базовая (1 л) Reoflex Audi/VW L97А Diamantsilber</t>
  </si>
  <si>
    <t>Эмаль базовая (1 л) Reoflex Audi/VW LA3G Klassikrot</t>
  </si>
  <si>
    <t>Эмаль базовая (1 л) Reoflex Audi/VW LB6T Tuerkis</t>
  </si>
  <si>
    <t>Эмаль базовая (1 л) Reoflex Audi/VW LC3T Indianrot</t>
  </si>
  <si>
    <t>Эмаль базовая (1 л) Reoflex Audi/VW LC3Z Terracotta</t>
  </si>
  <si>
    <t>Эмаль базовая (1 л) Reoflex Audi/VW LC9A Pure white</t>
  </si>
  <si>
    <t>Эмаль базовая (1 л) Reoflex Audi/VW LC6P Dragon green</t>
  </si>
  <si>
    <t>Эмаль базовая (1 л) Reoflex Audi/VW LD7W Urbangrey</t>
  </si>
  <si>
    <t>Эмаль базовая (1 л) Reoflex Audi/VW LY3D Tornadorot</t>
  </si>
  <si>
    <t>Эмаль базовая (1 л) Reoflex Audi/VW LY7W Lichtsilber</t>
  </si>
  <si>
    <t>Эмаль базовая (1 л) Reoflex Audi/VW LY9B Brillantschwarz</t>
  </si>
  <si>
    <t>Эмаль базовая (1 л) Reoflex Audi/VW LY9Z Panthero</t>
  </si>
  <si>
    <t>Эмаль базовая (1 л) Reoflex Audi/VW LZ9W Ebonyschwarz</t>
  </si>
  <si>
    <t>Эмаль базовая (1 л) Reoflex BMW 181 Diamantschwarz</t>
  </si>
  <si>
    <t>Эмаль базовая (1 л) Reoflex BMW 252 Calypsorot</t>
  </si>
  <si>
    <t>Эмаль базовая (1 л) Reoflex BMW 475 Blacksapphire</t>
  </si>
  <si>
    <t>Эмаль базовая (1 л) Reoflex Chevrolet GAZ Olympic white</t>
  </si>
  <si>
    <t>Эмаль базовая (1 л) Reoflex DB 040 Mercedes Schwarz</t>
  </si>
  <si>
    <t>Эмаль базовая (1 л) Reoflex DB 744 Mercedes Brillantsilber</t>
  </si>
  <si>
    <t>Эмаль базовая (1 л) Reoflex Ford 2851 Panther black</t>
  </si>
  <si>
    <t>Эмаль базовая (1 л) Reoflex Kia (Hyundai) MZH Phantom Black</t>
  </si>
  <si>
    <t>Эмаль базовая (1 л) Reoflex Kia (Hyundai) PGU Crystal White</t>
  </si>
  <si>
    <t>Эмаль базовая (1 л) Reoflex Kia (Hyundai) RHM Sleek Silver</t>
  </si>
  <si>
    <t>Эмаль базовая (1 л) Reoflex Kia (Hyundai) SAE Carbon Gray</t>
  </si>
  <si>
    <t>Эмаль базовая (1 л) Reoflex Kia (Hyundai) VC5 Coffee Bean</t>
  </si>
  <si>
    <t xml:space="preserve">Эмаль базовая (1 л) Reoflex LADA 104 калина </t>
  </si>
  <si>
    <t xml:space="preserve">Эмаль базовая (1 л) Reoflex LADA 192 портвейн </t>
  </si>
  <si>
    <t>Эмаль базовая (1 л) Reoflex LADA 201 B White</t>
  </si>
  <si>
    <t xml:space="preserve">Эмаль базовая (1 л) Reoflex LADA 221 ледниковый </t>
  </si>
  <si>
    <t xml:space="preserve">Эмаль базовая (1 л) Reoflex LADA 230 жемчуг </t>
  </si>
  <si>
    <t xml:space="preserve">Эмаль базовая (1 л) Reoflex LADA 240 белое облако </t>
  </si>
  <si>
    <t xml:space="preserve">Эмаль базовая (1 л) Reoflex LADA 270 нефертити </t>
  </si>
  <si>
    <t xml:space="preserve">Эмаль базовая (1 л) Reoflex LADA 276 приз </t>
  </si>
  <si>
    <t xml:space="preserve">Эмаль базовая (1 л) Reoflex LADA 280 мираж </t>
  </si>
  <si>
    <t>Эмаль базовая (1 л) Reoflex LADA 281 кристалл</t>
  </si>
  <si>
    <t xml:space="preserve">Эмаль базовая (1 л) Reoflex LADA 347 золото инков </t>
  </si>
  <si>
    <t xml:space="preserve">Эмаль базовая (1 л) Reoflex LADA 360 сочи </t>
  </si>
  <si>
    <t xml:space="preserve">Эмаль базовая (1 л) Reoflex LADA 371 амулет </t>
  </si>
  <si>
    <t xml:space="preserve">Эмаль базовая (1 л) Reoflex LADA 385 изумруд </t>
  </si>
  <si>
    <t xml:space="preserve">Эмаль базовая (1 л) Reoflex LADA 387 папирус </t>
  </si>
  <si>
    <t xml:space="preserve">Эмаль базовая (1 л) Reoflex LADA 391 робин гуд </t>
  </si>
  <si>
    <t>Эмаль базовая (1 л) Reoflex LADA 403 Monte Carlo</t>
  </si>
  <si>
    <t xml:space="preserve">Эмаль базовая (1 л) Reoflex LADA 448 рапсодия </t>
  </si>
  <si>
    <t>Эмаль базовая (1 л) Reoflex LADA 601 B Black</t>
  </si>
  <si>
    <t>Эмаль базовая (1 л) Reoflex LADA 606 млечный путь</t>
  </si>
  <si>
    <t xml:space="preserve">Эмаль базовая (1 л) Reoflex LADA 610 рислинг </t>
  </si>
  <si>
    <t xml:space="preserve">Эмаль базовая (1 л) Reoflex LADA 630 кварц </t>
  </si>
  <si>
    <t xml:space="preserve">Эмаль базовая (1 л) Reoflex  LADA 665 космос </t>
  </si>
  <si>
    <t xml:space="preserve">Эмаль базовая (1 л) Reoflex LADA 690 снежная королева </t>
  </si>
  <si>
    <t>Эмаль базовая (1 л) Reoflex Mazda J4 Passion rose</t>
  </si>
  <si>
    <t>Эмаль базовая (1 л) Reoflex Mitsubishi S74 Fraser beige</t>
  </si>
  <si>
    <t>Эмаль базовая (1 л) Reoflex Nissan KL0 Silver</t>
  </si>
  <si>
    <t>Эмаль базовая (1 л) Reoflex Nissan KY0 Sporty silver</t>
  </si>
  <si>
    <t>Эмаль базовая (1 л) Reoflex Opel 594 Rubensrot</t>
  </si>
  <si>
    <t>Эмаль базовая (1 л) Reoflex Peugeot EZR Gris aluminium</t>
  </si>
  <si>
    <t>Эмаль базовая (1 л) Reoflex Renault 369 Blanc glacier</t>
  </si>
  <si>
    <t>Эмаль базовая (1 л) Reoflex Super black</t>
  </si>
  <si>
    <t>Эмаль базовая (1 л) Reoflex Super white</t>
  </si>
  <si>
    <t>Эмаль базовая (1 л) Reoflex TOY 040 Super white 2</t>
  </si>
  <si>
    <t>Эмаль базовая (1 л) Reoflex TOY 199 Silver</t>
  </si>
  <si>
    <t>Эмаль базовая (1 л) Reoflex TOY 1C0 Silver</t>
  </si>
  <si>
    <t>Эмаль базовая (1 л) Reoflex TOY 1C1 Crystal silver</t>
  </si>
  <si>
    <t>Эмаль базовая (1 л) Reoflex TOY 1C7 Thunder grey</t>
  </si>
  <si>
    <t>Эмаль базовая (1 л) Reoflex TOY 1E3 Grey</t>
  </si>
  <si>
    <t>Эмаль базовая (1 л) Reoflex TOY 202 Black</t>
  </si>
  <si>
    <t>Эмаль базовая (1 л) Reoflex TOY 6M1 Dark emerald</t>
  </si>
  <si>
    <t>Эмаль базовая (1 л) Reoflex TOY 742 Dark turquoise</t>
  </si>
  <si>
    <t>Эмаль базовая (1 л) Reoflex Volvo 412 Tropic green</t>
  </si>
  <si>
    <t>Эмаль базовая (1 л) Reoflex белый А (компонент)</t>
  </si>
  <si>
    <t>Эмаль базовая (1 л) Reoflex черный</t>
  </si>
  <si>
    <t>RX Т-05/500</t>
  </si>
  <si>
    <t>База для переходов (0,5 л) Reoflex</t>
  </si>
  <si>
    <t>Акриловые эмали</t>
  </si>
  <si>
    <t>RX E-03/800</t>
  </si>
  <si>
    <t xml:space="preserve">Акриловая эмаль 4+1 (0,8 кг) Reoflex GAZ 202 белая </t>
  </si>
  <si>
    <t xml:space="preserve">Акриловая эмаль 4+1 (0,8 кг) Reoflex GAZ марсель </t>
  </si>
  <si>
    <t>Акриловая эмаль 4+1 (0,8 кг) Reoflex LADA  215 желтовато-белая</t>
  </si>
  <si>
    <t xml:space="preserve">Акриловая эмаль 4+1 (0,8 кг) Reoflex LADA 02/671 светло-серая </t>
  </si>
  <si>
    <t xml:space="preserve">Акриловая эмаль 4+1 (0,8 кг) Reoflex LADA 1035 желтая </t>
  </si>
  <si>
    <t xml:space="preserve">Акриловая эмаль 4+1 (0,8 кг) Reoflex LADA 107 баклажановая </t>
  </si>
  <si>
    <t xml:space="preserve">Акриловая эмаль 4+1 (0,8 кг) Reoflex LADA 110 рубин </t>
  </si>
  <si>
    <t xml:space="preserve">Акриловая эмаль 4+1 (0,8 кг) Reoflex LADA 127 вишня </t>
  </si>
  <si>
    <t xml:space="preserve">Акриловая эмаль 4+1 (0,8 кг) Reoflex LADA 180 гранатовая </t>
  </si>
  <si>
    <t xml:space="preserve">Акриловая эмаль 4+1 (0,8 кг) Reoflex LADA 201 белая </t>
  </si>
  <si>
    <t xml:space="preserve">Акриловая эмаль 4+1 (0,8 кг) Reoflex LADA 202 белая </t>
  </si>
  <si>
    <t xml:space="preserve">Акриловая эмаль 4+1 (0,8 кг) Reoflex LADA 233 серо-белая </t>
  </si>
  <si>
    <t xml:space="preserve">Акриловая эмаль 4+1 (0,8 кг) Reoflex LADA 303 защитная глянцевая </t>
  </si>
  <si>
    <t xml:space="preserve">Акриловая эмаль 4+1 (0,8 кг) Reoflex LADA 303 защитная матовая </t>
  </si>
  <si>
    <t xml:space="preserve">Акриловая эмаль 4+1 (0,8 кг) Reoflex LADA 307 зеленый сад </t>
  </si>
  <si>
    <t xml:space="preserve">Акриловая эмаль 4+1 (0,8 кг) Reoflex LADA 377 мурена </t>
  </si>
  <si>
    <t xml:space="preserve">Акриловая эмаль 4+1 (0,8 кг) Reoflex LADA 403 монте-карло </t>
  </si>
  <si>
    <t xml:space="preserve">Акриловая эмаль 4+1 (0,8 кг) Reoflex LADA 420 балтика </t>
  </si>
  <si>
    <t xml:space="preserve">Акриловая эмаль 4+1 (0,8 кг) Reoflex LADA 447 синяя полночь </t>
  </si>
  <si>
    <t xml:space="preserve">Акриловая эмаль 4+1 (0,8 кг) Reoflex LADA 449 океан </t>
  </si>
  <si>
    <t>Акриловая эмаль 4+1 (0,8 кг) Reoflex LADA 601 черная</t>
  </si>
  <si>
    <t>Акриловая эмаль 4+1 (0,8 кг) Reoflex LADA 793 тёмно-коричневая</t>
  </si>
  <si>
    <t>Акриловая эмаль 4+1 (0,8 кг) Reoflex LADA белая ночь</t>
  </si>
  <si>
    <t>Акриловая эмаль 4+1 (0,8 кг) Reoflex LADA оранжевая</t>
  </si>
  <si>
    <t>Акриловая эмаль 4+1 (0,8 кг) Reoflex LADA серая</t>
  </si>
  <si>
    <t>Акриловая эмаль 4+1 (0,8 кг) Reoflex LADA такси</t>
  </si>
  <si>
    <t>Акриловая эмаль 4+1 (0,8 кг) Reoflex RAL 2004 оранжевый</t>
  </si>
  <si>
    <t>Акриловая эмаль 4+1 (0,8 кг) Reoflex RAL 8017 шоколадно-коричневый</t>
  </si>
  <si>
    <t xml:space="preserve">Акриловая эмаль 4+1 (0,8 кг) Reoflex TOY 040 белая </t>
  </si>
  <si>
    <t>Акриловая эмаль 4+1 (0,8 кг) Reoflex белая A (компонент)</t>
  </si>
  <si>
    <t>RX E-03/1000</t>
  </si>
  <si>
    <t>Акриловая эмаль Acryl Top (1 л) Reoflex Audi/VW L041 Brillantschwarz</t>
  </si>
  <si>
    <t>Акриловая эмаль Acryl Top (1 л) Reoflex Audi/VW L90E Alpinweiss</t>
  </si>
  <si>
    <t>Акриловая эмаль Acryl Top (1 л) Reoflex Audi/VW LA5E Martimblau</t>
  </si>
  <si>
    <t>Акриловая эмаль Acryl Top (1 л) Reoflex Audi/VW LB9А Candyweiss</t>
  </si>
  <si>
    <t>Акриловая эмаль Acryl Top (1 л) Reoflex Audi/VW LL6T Friesengruen</t>
  </si>
  <si>
    <t>Акриловая эмаль Acryl Top (1 л) Reoflex Audi/VW LL5M Indianblau</t>
  </si>
  <si>
    <t>Акриловая эмаль Acryl Top (1 л) Reoflex Audi/VW LY3D Tornadorot</t>
  </si>
  <si>
    <t>Акриловая эмаль Acryl Top (1 л) Reoflex Audi/VW R902 Grauweiss</t>
  </si>
  <si>
    <t>Акриловая эмаль Acryl Top (1 л) Reoflex DB 147 Arktikweiss</t>
  </si>
  <si>
    <t>Акриловая эмаль Acryl Top (1 л) Reoflex LADA 201 B White</t>
  </si>
  <si>
    <t>Акриловая эмаль Acryl Top (1 л) Reoflex LADA 601 B Black</t>
  </si>
  <si>
    <t>Акриловая эмаль Acryl Top (1 л) Reoflex LADA 1035 Yellow</t>
  </si>
  <si>
    <t>Акриловая эмаль Acryl Top (1 л) Reoflex LADA 403 Monte Carlo</t>
  </si>
  <si>
    <t>Акриловая эмаль Acryl Top (1 л) Reoflex LADA 127 Cherry</t>
  </si>
  <si>
    <t>Акриловая эмаль Acryl Top (1 л) Reoflex Taxi 1775</t>
  </si>
  <si>
    <t>Акриловая эмаль Acryl Top (1 л) Reoflex TOY 040 Super white 2</t>
  </si>
  <si>
    <t>Акриловая эмаль Acryl Top (1 л) Reoflex TOY 3E5 Super red 2</t>
  </si>
  <si>
    <t>Акриловая эмаль Acryl Top (1 л) Reoflex TOY 3P0 Super red 5</t>
  </si>
  <si>
    <t>Акриловая эмаль Acryl Top (1 л) Reoflex Extra silver 001</t>
  </si>
  <si>
    <t>Акриловая эмаль Acryl Top (1 л) Reoflex Fine silver 002</t>
  </si>
  <si>
    <t>Автоэмали воздушной сушки</t>
  </si>
  <si>
    <t>RX E-04/750</t>
  </si>
  <si>
    <t>Автоэмаль воздушной сушки (0,75 л) Reoflex Audi/VW L90E Alpinweiss</t>
  </si>
  <si>
    <t xml:space="preserve">0,75 л </t>
  </si>
  <si>
    <t>Автоэмаль воздушной сушки (0,75 л) Reoflex Audi/VW R902 Grauweiss</t>
  </si>
  <si>
    <t>Автоэмаль воздушной сушки (0,75 л) Reoflex DB 147 Mercedes Arktikweiss</t>
  </si>
  <si>
    <t>Автоэмаль воздушной сушки (0,75 л) Reoflex LADA 02/671 светло-серая</t>
  </si>
  <si>
    <t>Автоэмаль воздушной сушки (0,75 л) Reoflex LADA 1015 красная</t>
  </si>
  <si>
    <t>Автоэмаль воздушной сушки (0,75 л) Reoflex LADA 1035 жёлтая</t>
  </si>
  <si>
    <t>Автоэмаль воздушной сушки (0,75 л) Reoflex LADA 127 вишня</t>
  </si>
  <si>
    <t>Автоэмаль воздушной сушки (0,75 л) Reoflex LADA 201 B белая</t>
  </si>
  <si>
    <t>Автоэмаль воздушной сушки (0,75 л) Reoflex LADA 202 белая</t>
  </si>
  <si>
    <t>Автоэмаль воздушной сушки (0,75 л) Reoflex LADA 303 защитная глянцевая</t>
  </si>
  <si>
    <t>Автоэмаль воздушной сушки (0,75 л) Reoflex LADA 400 босфор</t>
  </si>
  <si>
    <t>Автоэмаль воздушной сушки (0,75 л) Reoflex LADA 403 монте-карло</t>
  </si>
  <si>
    <t>Автоэмаль воздушной сушки (0,75 л) Reoflex LADA 425 голубая</t>
  </si>
  <si>
    <t>Автоэмаль воздушной сушки (0,75 л) Reoflex LADA 564 кипарис</t>
  </si>
  <si>
    <t>Автоэмаль воздушной сушки (0,75 л) Reoflex LADA 601 черная</t>
  </si>
  <si>
    <t>Автоэмаль воздушной сушки (0,75 л) Reoflex LADA 793 тёмно-коричневая</t>
  </si>
  <si>
    <t>Автоэмаль воздушной сушки (0,75 л) Reoflex LADA белая ночь</t>
  </si>
  <si>
    <t>Автоэмаль воздушной сушки (0,75 л) Reoflex LADA оранжевая</t>
  </si>
  <si>
    <t>Автоэмаль воздушной сушки (0,75 л) Reoflex RAL 2004 оранжевый</t>
  </si>
  <si>
    <t>Автоэмаль воздушной сушки (0,75 л) Reoflex RAL 7015 тёмно-серый</t>
  </si>
  <si>
    <t>Автоэмаль воздушной сушки (0,75 л) Reoflex RAL 8017 шоколадно-коричневый</t>
  </si>
  <si>
    <t>Автоэмаль воздушной сушки (0,75 л) Reoflex TOY 040 Super white 2</t>
  </si>
  <si>
    <t>Автоэмаль воздушной сушки (0,75 л) Reoflex TOY 202 Black</t>
  </si>
  <si>
    <t>Автоэмаль воздушной сушки (0,75 л) Reoflex черная матовая</t>
  </si>
  <si>
    <t>COLORMIX SYSTEM AC</t>
  </si>
  <si>
    <t>RX E-03/3500</t>
  </si>
  <si>
    <t>AC компонент (3,5 л) Reoflex биндер AC</t>
  </si>
  <si>
    <t>3,5 л</t>
  </si>
  <si>
    <t>AC компонент (3,5 л) Reoflex MIX101 желтый</t>
  </si>
  <si>
    <t>AC компонент (3,5 л) Reoflex MIX102 оранжево-желтый</t>
  </si>
  <si>
    <t>AC компонент (3,5 л) Reoflex MIX103 окисно-желтый</t>
  </si>
  <si>
    <t>AC компонент (1 л) Reoflex MIX203 желто-оранжевый</t>
  </si>
  <si>
    <t>AC компонент (3,5 л) Reoflex MIX300 окисно-красный</t>
  </si>
  <si>
    <t>AC компонент (3,5 л) Reoflex MIX303 красный</t>
  </si>
  <si>
    <t>AC компонент (1 л) Reoflex MIX305 оранжевый</t>
  </si>
  <si>
    <t>AC компонент (1 л) Reoflex MIX306 красный</t>
  </si>
  <si>
    <t>AC компонент (3,5 л) Reoflex MIX403 маджента</t>
  </si>
  <si>
    <t>AC компонент (3,5 л) Reoflex MIX404 красно-фиолетовый</t>
  </si>
  <si>
    <t>AC компонент (1 л) Reoflex MIX405 фиолетовый</t>
  </si>
  <si>
    <t>AC компонент (3,5 л) Reoflex MIX500 стандартно-синий</t>
  </si>
  <si>
    <t>AC компонент (1 л) Reoflex MIX501 фиолетово-синий</t>
  </si>
  <si>
    <t>AC компонент (3,5 л) Reoflex MIX600 зеленый</t>
  </si>
  <si>
    <t>AC компонент (1 л) Reoflex MIX902 черный</t>
  </si>
  <si>
    <t>AC компонент (3,5 л) Reoflex MIX909 белый</t>
  </si>
  <si>
    <t>AC компонент (3,5 л) Reoflex MIX910 глубоко-черный</t>
  </si>
  <si>
    <t>COLORMIX SYSTEM BC</t>
  </si>
  <si>
    <t>RX B-01/3500</t>
  </si>
  <si>
    <t>BC компонент (3,5 л)  Reoflex биндер BC</t>
  </si>
  <si>
    <t>BC компонент (1 л)  Reoflex MIX 5111 черный</t>
  </si>
  <si>
    <t>BC компонент (1 л)  Reoflex MIX 5131 белый</t>
  </si>
  <si>
    <t>BC компонент (1 л)  Reoflex MIX AL 002 алюминий мелкий</t>
  </si>
  <si>
    <t>BC компонент (1 л)  Reoflex MIX AL 006 алюминий доллар</t>
  </si>
  <si>
    <t>BC компонент (1 л)  Reoflex MIX AL 007 алюминий крупный доллар</t>
  </si>
  <si>
    <t>BC компонент (1 л)  Reoflex MIX Р 020 перламутр белый</t>
  </si>
  <si>
    <t>Цветовая документация</t>
  </si>
  <si>
    <t>Каталог цветов COLORMIX SYSTEM Reoflex (107)</t>
  </si>
  <si>
    <t>1 шт.</t>
  </si>
  <si>
    <t>Каталог цветов Reoflex №1 (59 цветов)</t>
  </si>
  <si>
    <t>Каталог цветов Reoflex №2 (евро, 55 цветов)</t>
  </si>
  <si>
    <t>Каталог цветов Компоненты COLORMIX SYSTEM Reoflex (17+37)</t>
  </si>
  <si>
    <t>Цветовая документация COLORMIX SYSTEM Reoflex (комплект: программа, круг Освальда, каталоги)</t>
  </si>
  <si>
    <t>Расходные материалы</t>
  </si>
  <si>
    <t>RX N-19/3</t>
  </si>
  <si>
    <t>Гибкий шпатель Reoflex (3 шт)</t>
  </si>
  <si>
    <t>1 комп.</t>
  </si>
  <si>
    <t>RX N-20/M</t>
  </si>
  <si>
    <t>Комбинезон малярный многоразовый (размер M: 46-48) Reoflex</t>
  </si>
  <si>
    <t>RX N-20/L</t>
  </si>
  <si>
    <t>Комбинезон малярный многоразовый (размер L: 50-52) Reoflex</t>
  </si>
  <si>
    <t>RX N-20/XL</t>
  </si>
  <si>
    <t>Комбинезон малярный многоразовый (размер XL: 54-56) Reoflex</t>
  </si>
  <si>
    <t>RX N-20/XXL</t>
  </si>
  <si>
    <t>Комбинезон малярный многоразовый (размер XXL: 58-60) Reoflex</t>
  </si>
  <si>
    <t>RX N-15/400</t>
  </si>
  <si>
    <t>Крышка для мерной емкости (400 мл) Reoflex</t>
  </si>
  <si>
    <t>RX N-15/700</t>
  </si>
  <si>
    <t>Крышка для мерной емкости (700 мл) Reoflex</t>
  </si>
  <si>
    <t>RX N-15/1400</t>
  </si>
  <si>
    <t>Крышка для мерной емкости (1400 мл) Reoflex</t>
  </si>
  <si>
    <t>RX N-15/2300</t>
  </si>
  <si>
    <t xml:space="preserve">Крышка для мерной ёмкости (2300 мл) Reoflex </t>
  </si>
  <si>
    <t>RX N-14/400</t>
  </si>
  <si>
    <t>Мерная емкость (400 мл) Reoflex</t>
  </si>
  <si>
    <t>RX N-14/700</t>
  </si>
  <si>
    <t>Мерная емкость (700 мл) Reoflex</t>
  </si>
  <si>
    <t>RX N-14/1400</t>
  </si>
  <si>
    <t>Мерная емкость (1400 мл) Reoflex</t>
  </si>
  <si>
    <t>RX N-14/2300</t>
  </si>
  <si>
    <t>Мерная ёмкость (2300 мл) Reoflex</t>
  </si>
  <si>
    <t>RX N-17/2141/35</t>
  </si>
  <si>
    <t>Линейка для смешивания ЛКМ 2:1/4:1 алюминиевая (350х30х2 мм) Reoflex</t>
  </si>
  <si>
    <t>RX N-18/8090</t>
  </si>
  <si>
    <t>Липкая салфетка (80*90 см) Reoflex</t>
  </si>
  <si>
    <t>RX N-13/190</t>
  </si>
  <si>
    <t>Нейлоновый сетчатый фильтр (190 мкм) Reoflex</t>
  </si>
  <si>
    <t>RX N-08/4×5</t>
  </si>
  <si>
    <t>Плёнка укрывочная Reoflex 7 мкм (5×4 м)</t>
  </si>
  <si>
    <t>пакет</t>
  </si>
  <si>
    <t>RX N-08/4×7</t>
  </si>
  <si>
    <t>Плёнка укрывочная Reoflex 7 мкм (7×4 м)</t>
  </si>
  <si>
    <t>RX N-08/4150/10</t>
  </si>
  <si>
    <t>Плёнка укрывочная (4х150 м, 10 мкм) Reoflex</t>
  </si>
  <si>
    <t>RX N-16</t>
  </si>
  <si>
    <t>Поролоновый валик для проёмов (13 мм*50 м) Reoflex</t>
  </si>
  <si>
    <t>RX N-03/50</t>
  </si>
  <si>
    <t>Сухое проявочное покрытие (50 г) Reoflex черный</t>
  </si>
  <si>
    <t>картридж 50 гр</t>
  </si>
  <si>
    <t>Сухое проявочное покрытие (50 г) Reoflex белый</t>
  </si>
  <si>
    <t>Сухое проявочное покрытие (50 г) Reoflex оранжевый</t>
  </si>
  <si>
    <t>RX N-05-150/500</t>
  </si>
  <si>
    <t>Стекломат 150 г/м2 (0,5 м2) Reoflex</t>
  </si>
  <si>
    <t>0,5 м²</t>
  </si>
  <si>
    <t>RX N-05-300/500</t>
  </si>
  <si>
    <t>Стекломат 300 г/м2 (0,5 м2) Reoflex</t>
  </si>
  <si>
    <t>RX N-01/50</t>
  </si>
  <si>
    <t>Тест-карты (50 листов) Reoflex</t>
  </si>
  <si>
    <t>упаковка 50 листов</t>
  </si>
  <si>
    <t>ООО "БЛИК-АВТО"</t>
  </si>
  <si>
    <t>Сайт: https://blik-cvet.ru</t>
  </si>
  <si>
    <t>Телефон: 8-495-626-68-34</t>
  </si>
  <si>
    <t>Прайс-лист на продукцию "Reoflex"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</si>
</sst>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;[Red]0.0"/>
    <numFmt numFmtId="165" formatCode="#,##0.00;[Red]#,##0.00"/>
    <numFmt numFmtId="166" formatCode="#,##0.0"/>
    <numFmt numFmtId="167" formatCode="0.00;[Red]0.00"/>
    <numFmt numFmtId="168" formatCode="#,##0.00&quot;   &quot;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Calibri"/>
      <family val="2"/>
    </font>
    <font>
      <b/>
      <i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19" fillId="0" borderId="0" xfId="57" applyFont="1" applyAlignment="1">
      <alignment vertical="center" wrapText="1"/>
      <protection/>
    </xf>
    <xf numFmtId="0" fontId="20" fillId="0" borderId="0" xfId="57" applyFont="1" applyAlignment="1">
      <alignment vertical="center" wrapText="1"/>
      <protection/>
    </xf>
    <xf numFmtId="1" fontId="19" fillId="0" borderId="0" xfId="57" applyNumberFormat="1" applyFont="1" applyAlignment="1">
      <alignment horizontal="center" vertical="center" wrapText="1"/>
      <protection/>
    </xf>
    <xf numFmtId="49" fontId="19" fillId="0" borderId="0" xfId="57" applyNumberFormat="1" applyFont="1" applyAlignment="1">
      <alignment vertical="center" wrapText="1"/>
      <protection/>
    </xf>
    <xf numFmtId="0" fontId="23" fillId="0" borderId="0" xfId="57" applyFont="1" applyAlignment="1">
      <alignment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 applyBorder="1" applyAlignment="1">
      <alignment vertical="center" wrapText="1"/>
      <protection/>
    </xf>
    <xf numFmtId="0" fontId="24" fillId="0" borderId="0" xfId="57" applyFont="1" applyBorder="1" applyAlignment="1">
      <alignment vertical="center" wrapText="1"/>
      <protection/>
    </xf>
    <xf numFmtId="0" fontId="24" fillId="0" borderId="0" xfId="57" applyFont="1" applyAlignment="1">
      <alignment vertical="center" wrapText="1"/>
      <protection/>
    </xf>
    <xf numFmtId="0" fontId="24" fillId="0" borderId="10" xfId="57" applyFont="1" applyBorder="1" applyAlignment="1">
      <alignment vertical="center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19" fillId="0" borderId="0" xfId="57" applyFont="1" applyFill="1" applyBorder="1" applyAlignment="1">
      <alignment vertical="center" wrapText="1"/>
      <protection/>
    </xf>
    <xf numFmtId="0" fontId="19" fillId="0" borderId="0" xfId="57" applyFont="1" applyFill="1" applyAlignment="1">
      <alignment vertical="center" wrapText="1"/>
      <protection/>
    </xf>
    <xf numFmtId="0" fontId="24" fillId="0" borderId="0" xfId="57" applyFont="1" applyFill="1" applyAlignment="1">
      <alignment vertical="center" wrapText="1"/>
      <protection/>
    </xf>
    <xf numFmtId="0" fontId="19" fillId="33" borderId="0" xfId="57" applyFont="1" applyFill="1" applyBorder="1" applyAlignment="1">
      <alignment vertical="center" wrapText="1"/>
      <protection/>
    </xf>
    <xf numFmtId="0" fontId="19" fillId="33" borderId="0" xfId="57" applyFont="1" applyFill="1" applyAlignment="1">
      <alignment vertical="center" wrapText="1"/>
      <protection/>
    </xf>
    <xf numFmtId="0" fontId="24" fillId="33" borderId="0" xfId="57" applyFont="1" applyFill="1" applyAlignment="1">
      <alignment vertical="center" wrapText="1"/>
      <protection/>
    </xf>
    <xf numFmtId="0" fontId="26" fillId="0" borderId="0" xfId="57" applyFont="1" applyAlignment="1">
      <alignment vertical="center" wrapText="1"/>
      <protection/>
    </xf>
    <xf numFmtId="0" fontId="24" fillId="33" borderId="0" xfId="57" applyFont="1" applyFill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2" fontId="19" fillId="0" borderId="0" xfId="57" applyNumberFormat="1" applyFont="1" applyAlignment="1">
      <alignment vertical="center" wrapText="1"/>
      <protection/>
    </xf>
    <xf numFmtId="0" fontId="29" fillId="0" borderId="0" xfId="57" applyFont="1" applyAlignment="1">
      <alignment horizontal="center" vertical="center"/>
      <protection/>
    </xf>
    <xf numFmtId="1" fontId="27" fillId="0" borderId="0" xfId="57" applyNumberFormat="1" applyFont="1" applyFill="1" applyBorder="1" applyAlignment="1">
      <alignment horizontal="center" vertical="center"/>
      <protection/>
    </xf>
    <xf numFmtId="1" fontId="20" fillId="0" borderId="0" xfId="57" applyNumberFormat="1" applyFont="1" applyFill="1" applyBorder="1" applyAlignment="1">
      <alignment vertical="center"/>
      <protection/>
    </xf>
    <xf numFmtId="1" fontId="27" fillId="0" borderId="0" xfId="57" applyNumberFormat="1" applyFont="1" applyFill="1" applyBorder="1" applyAlignment="1">
      <alignment vertical="center"/>
      <protection/>
    </xf>
    <xf numFmtId="165" fontId="31" fillId="0" borderId="0" xfId="42" applyNumberFormat="1" applyFont="1" applyFill="1" applyBorder="1" applyAlignment="1" applyProtection="1">
      <alignment vertical="center"/>
      <protection/>
    </xf>
    <xf numFmtId="0" fontId="32" fillId="0" borderId="0" xfId="57" applyFont="1" applyBorder="1" applyAlignment="1">
      <alignment horizontal="right" vertical="top" wrapText="1"/>
      <protection/>
    </xf>
    <xf numFmtId="167" fontId="19" fillId="0" borderId="0" xfId="57" applyNumberFormat="1" applyFont="1" applyBorder="1" applyAlignment="1">
      <alignment vertical="top" wrapText="1"/>
      <protection/>
    </xf>
    <xf numFmtId="0" fontId="26" fillId="0" borderId="0" xfId="57" applyFont="1" applyBorder="1" applyAlignment="1">
      <alignment horizontal="right" vertical="top" wrapText="1"/>
      <protection/>
    </xf>
    <xf numFmtId="0" fontId="27" fillId="0" borderId="0" xfId="57" applyFont="1" applyBorder="1" applyAlignment="1">
      <alignment vertical="center" wrapText="1"/>
      <protection/>
    </xf>
    <xf numFmtId="1" fontId="33" fillId="0" borderId="0" xfId="57" applyNumberFormat="1" applyFont="1" applyFill="1" applyBorder="1" applyAlignment="1">
      <alignment vertical="center"/>
      <protection/>
    </xf>
    <xf numFmtId="0" fontId="34" fillId="34" borderId="0" xfId="57" applyFont="1" applyFill="1" applyBorder="1" applyAlignment="1">
      <alignment horizontal="center" vertical="center" wrapText="1"/>
      <protection/>
    </xf>
    <xf numFmtId="0" fontId="34" fillId="34" borderId="11" xfId="57" applyFont="1" applyFill="1" applyBorder="1" applyAlignment="1">
      <alignment horizontal="center" vertical="center" wrapText="1"/>
      <protection/>
    </xf>
    <xf numFmtId="0" fontId="27" fillId="35" borderId="0" xfId="57" applyFont="1" applyFill="1" applyBorder="1" applyAlignment="1">
      <alignment horizontal="center" vertical="center" wrapText="1"/>
      <protection/>
    </xf>
    <xf numFmtId="1" fontId="30" fillId="36" borderId="10" xfId="57" applyNumberFormat="1" applyFont="1" applyFill="1" applyBorder="1" applyAlignment="1">
      <alignment horizontal="center" vertical="center" wrapText="1"/>
      <protection/>
    </xf>
    <xf numFmtId="49" fontId="30" fillId="36" borderId="10" xfId="57" applyNumberFormat="1" applyFont="1" applyFill="1" applyBorder="1" applyAlignment="1">
      <alignment horizontal="center" vertical="center" wrapText="1"/>
      <protection/>
    </xf>
    <xf numFmtId="0" fontId="30" fillId="36" borderId="10" xfId="57" applyFont="1" applyFill="1" applyBorder="1" applyAlignment="1">
      <alignment horizontal="center" vertical="center" wrapText="1"/>
      <protection/>
    </xf>
    <xf numFmtId="0" fontId="27" fillId="33" borderId="10" xfId="57" applyFont="1" applyFill="1" applyBorder="1" applyAlignment="1">
      <alignment horizontal="center" vertical="center" wrapText="1"/>
      <protection/>
    </xf>
    <xf numFmtId="0" fontId="34" fillId="34" borderId="12" xfId="57" applyFont="1" applyFill="1" applyBorder="1" applyAlignment="1">
      <alignment vertical="center" wrapText="1"/>
      <protection/>
    </xf>
    <xf numFmtId="0" fontId="27" fillId="35" borderId="13" xfId="57" applyFont="1" applyFill="1" applyBorder="1" applyAlignment="1">
      <alignment horizontal="center" vertical="center" wrapText="1"/>
      <protection/>
    </xf>
    <xf numFmtId="0" fontId="27" fillId="35" borderId="14" xfId="57" applyFont="1" applyFill="1" applyBorder="1" applyAlignment="1">
      <alignment horizontal="center" vertical="center" wrapText="1"/>
      <protection/>
    </xf>
    <xf numFmtId="1" fontId="60" fillId="0" borderId="10" xfId="57" applyNumberFormat="1" applyFont="1" applyBorder="1" applyAlignment="1">
      <alignment horizontal="center" vertical="center" wrapText="1"/>
      <protection/>
    </xf>
    <xf numFmtId="49" fontId="60" fillId="0" borderId="10" xfId="57" applyNumberFormat="1" applyFont="1" applyBorder="1" applyAlignment="1">
      <alignment vertical="center" wrapText="1"/>
      <protection/>
    </xf>
    <xf numFmtId="0" fontId="60" fillId="0" borderId="10" xfId="57" applyFont="1" applyBorder="1" applyAlignment="1">
      <alignment vertical="center" wrapText="1"/>
      <protection/>
    </xf>
    <xf numFmtId="0" fontId="60" fillId="0" borderId="10" xfId="57" applyFont="1" applyBorder="1" applyAlignment="1">
      <alignment horizontal="center" vertical="center" wrapText="1"/>
      <protection/>
    </xf>
    <xf numFmtId="2" fontId="61" fillId="0" borderId="10" xfId="57" applyNumberFormat="1" applyFont="1" applyBorder="1" applyAlignment="1">
      <alignment horizontal="center" vertical="center" wrapText="1"/>
      <protection/>
    </xf>
    <xf numFmtId="4" fontId="60" fillId="0" borderId="10" xfId="57" applyNumberFormat="1" applyFont="1" applyBorder="1" applyAlignment="1">
      <alignment horizontal="center" vertical="center" wrapText="1"/>
      <protection/>
    </xf>
    <xf numFmtId="0" fontId="61" fillId="37" borderId="10" xfId="57" applyFont="1" applyFill="1" applyBorder="1" applyAlignment="1" applyProtection="1">
      <alignment horizontal="center" vertical="center" wrapText="1"/>
      <protection/>
    </xf>
    <xf numFmtId="4" fontId="61" fillId="0" borderId="15" xfId="57" applyNumberFormat="1" applyFont="1" applyFill="1" applyBorder="1" applyAlignment="1">
      <alignment horizontal="center" vertical="center" wrapText="1"/>
      <protection/>
    </xf>
    <xf numFmtId="4" fontId="27" fillId="38" borderId="16" xfId="57" applyNumberFormat="1" applyFont="1" applyFill="1" applyBorder="1" applyAlignment="1">
      <alignment vertical="center" wrapText="1"/>
      <protection/>
    </xf>
    <xf numFmtId="4" fontId="27" fillId="38" borderId="17" xfId="57" applyNumberFormat="1" applyFont="1" applyFill="1" applyBorder="1" applyAlignment="1">
      <alignment vertical="center" wrapText="1"/>
      <protection/>
    </xf>
    <xf numFmtId="1" fontId="35" fillId="0" borderId="10" xfId="57" applyNumberFormat="1" applyFont="1" applyBorder="1" applyAlignment="1">
      <alignment horizontal="center" vertical="center" wrapText="1"/>
      <protection/>
    </xf>
    <xf numFmtId="49" fontId="35" fillId="0" borderId="10" xfId="57" applyNumberFormat="1" applyFont="1" applyBorder="1" applyAlignment="1">
      <alignment vertical="center" wrapText="1"/>
      <protection/>
    </xf>
    <xf numFmtId="0" fontId="35" fillId="0" borderId="10" xfId="57" applyFont="1" applyBorder="1" applyAlignment="1">
      <alignment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2" fontId="28" fillId="0" borderId="10" xfId="57" applyNumberFormat="1" applyFont="1" applyBorder="1" applyAlignment="1">
      <alignment horizontal="center" vertical="center" wrapText="1"/>
      <protection/>
    </xf>
    <xf numFmtId="4" fontId="35" fillId="0" borderId="10" xfId="57" applyNumberFormat="1" applyFont="1" applyBorder="1" applyAlignment="1">
      <alignment horizontal="center" vertical="center" wrapText="1"/>
      <protection/>
    </xf>
    <xf numFmtId="0" fontId="30" fillId="37" borderId="10" xfId="57" applyFont="1" applyFill="1" applyBorder="1" applyAlignment="1" applyProtection="1">
      <alignment horizontal="center" vertical="center" wrapText="1"/>
      <protection/>
    </xf>
    <xf numFmtId="4" fontId="28" fillId="0" borderId="15" xfId="57" applyNumberFormat="1" applyFont="1" applyFill="1" applyBorder="1" applyAlignment="1">
      <alignment horizontal="center" vertical="center" wrapText="1"/>
      <protection/>
    </xf>
    <xf numFmtId="0" fontId="61" fillId="37" borderId="10" xfId="57" applyFont="1" applyFill="1" applyBorder="1" applyAlignment="1" applyProtection="1">
      <alignment horizontal="center" vertical="center" wrapText="1"/>
      <protection locked="0"/>
    </xf>
    <xf numFmtId="0" fontId="34" fillId="34" borderId="11" xfId="57" applyFont="1" applyFill="1" applyBorder="1" applyAlignment="1">
      <alignment vertical="center" wrapText="1"/>
      <protection/>
    </xf>
    <xf numFmtId="1" fontId="29" fillId="0" borderId="10" xfId="57" applyNumberFormat="1" applyFont="1" applyBorder="1" applyAlignment="1">
      <alignment horizontal="center" vertical="center" wrapText="1"/>
      <protection/>
    </xf>
    <xf numFmtId="49" fontId="29" fillId="0" borderId="10" xfId="57" applyNumberFormat="1" applyFont="1" applyBorder="1" applyAlignment="1">
      <alignment vertical="center" wrapText="1"/>
      <protection/>
    </xf>
    <xf numFmtId="0" fontId="29" fillId="0" borderId="10" xfId="57" applyFont="1" applyBorder="1" applyAlignment="1">
      <alignment horizontal="left" vertical="center" wrapText="1"/>
      <protection/>
    </xf>
    <xf numFmtId="0" fontId="29" fillId="0" borderId="10" xfId="57" applyFont="1" applyBorder="1" applyAlignment="1">
      <alignment horizontal="center" vertical="center" wrapText="1"/>
      <protection/>
    </xf>
    <xf numFmtId="2" fontId="30" fillId="0" borderId="10" xfId="57" applyNumberFormat="1" applyFont="1" applyBorder="1" applyAlignment="1">
      <alignment horizontal="center" vertical="center" wrapText="1"/>
      <protection/>
    </xf>
    <xf numFmtId="4" fontId="29" fillId="0" borderId="10" xfId="57" applyNumberFormat="1" applyFont="1" applyBorder="1" applyAlignment="1">
      <alignment horizontal="center" vertical="center" wrapText="1"/>
      <protection/>
    </xf>
    <xf numFmtId="0" fontId="30" fillId="37" borderId="10" xfId="57" applyFont="1" applyFill="1" applyBorder="1" applyAlignment="1" applyProtection="1">
      <alignment horizontal="center" vertical="center" wrapText="1"/>
      <protection locked="0"/>
    </xf>
    <xf numFmtId="4" fontId="30" fillId="0" borderId="15" xfId="57" applyNumberFormat="1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33" borderId="10" xfId="54" applyNumberFormat="1" applyFont="1" applyFill="1" applyBorder="1" applyAlignment="1">
      <alignment horizontal="left" vertical="top" wrapText="1"/>
      <protection/>
    </xf>
    <xf numFmtId="4" fontId="29" fillId="33" borderId="10" xfId="57" applyNumberFormat="1" applyFont="1" applyFill="1" applyBorder="1" applyAlignment="1">
      <alignment horizontal="center" vertical="center" wrapText="1"/>
      <protection/>
    </xf>
    <xf numFmtId="0" fontId="36" fillId="0" borderId="0" xfId="57" applyFont="1" applyBorder="1" applyAlignment="1">
      <alignment vertical="center" wrapText="1"/>
      <protection/>
    </xf>
    <xf numFmtId="168" fontId="29" fillId="0" borderId="10" xfId="57" applyNumberFormat="1" applyFont="1" applyBorder="1" applyAlignment="1">
      <alignment horizontal="center" vertical="center" wrapText="1"/>
      <protection/>
    </xf>
    <xf numFmtId="0" fontId="37" fillId="0" borderId="0" xfId="57" applyFont="1" applyBorder="1" applyAlignment="1">
      <alignment vertical="center" wrapText="1"/>
      <protection/>
    </xf>
    <xf numFmtId="1" fontId="29" fillId="0" borderId="10" xfId="57" applyNumberFormat="1" applyFont="1" applyBorder="1" applyAlignment="1" quotePrefix="1">
      <alignment horizontal="center" vertical="center" wrapText="1"/>
      <protection/>
    </xf>
    <xf numFmtId="0" fontId="30" fillId="39" borderId="10" xfId="57" applyFont="1" applyFill="1" applyBorder="1" applyAlignment="1" applyProtection="1">
      <alignment horizontal="center" vertical="center" wrapText="1"/>
      <protection locked="0"/>
    </xf>
    <xf numFmtId="0" fontId="38" fillId="0" borderId="0" xfId="57" applyFont="1" applyBorder="1" applyAlignment="1">
      <alignment horizontal="left" vertical="center" wrapText="1"/>
      <protection/>
    </xf>
    <xf numFmtId="0" fontId="38" fillId="0" borderId="0" xfId="57" applyFont="1" applyBorder="1" applyAlignment="1">
      <alignment horizontal="center" vertical="center" wrapText="1"/>
      <protection/>
    </xf>
    <xf numFmtId="0" fontId="36" fillId="0" borderId="0" xfId="57" applyFont="1" applyBorder="1" applyAlignment="1">
      <alignment horizontal="left" vertical="center" wrapText="1"/>
      <protection/>
    </xf>
    <xf numFmtId="49" fontId="29" fillId="0" borderId="10" xfId="57" applyNumberFormat="1" applyFont="1" applyFill="1" applyBorder="1" applyAlignment="1">
      <alignment vertical="center" wrapText="1"/>
      <protection/>
    </xf>
    <xf numFmtId="1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left" vertical="center" wrapText="1"/>
      <protection/>
    </xf>
    <xf numFmtId="2" fontId="30" fillId="0" borderId="10" xfId="57" applyNumberFormat="1" applyFont="1" applyFill="1" applyBorder="1" applyAlignment="1">
      <alignment horizontal="center" vertical="center" wrapText="1"/>
      <protection/>
    </xf>
    <xf numFmtId="4" fontId="29" fillId="0" borderId="10" xfId="57" applyNumberFormat="1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left" vertical="center" wrapText="1"/>
      <protection/>
    </xf>
    <xf numFmtId="0" fontId="34" fillId="34" borderId="18" xfId="57" applyFont="1" applyFill="1" applyBorder="1" applyAlignment="1">
      <alignment horizontal="center" vertical="center" wrapText="1"/>
      <protection/>
    </xf>
    <xf numFmtId="4" fontId="27" fillId="35" borderId="16" xfId="57" applyNumberFormat="1" applyFont="1" applyFill="1" applyBorder="1" applyAlignment="1">
      <alignment vertical="center" wrapText="1"/>
      <protection/>
    </xf>
    <xf numFmtId="4" fontId="27" fillId="35" borderId="17" xfId="57" applyNumberFormat="1" applyFont="1" applyFill="1" applyBorder="1" applyAlignment="1">
      <alignment vertical="center" wrapText="1"/>
      <protection/>
    </xf>
    <xf numFmtId="49" fontId="29" fillId="0" borderId="10" xfId="57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2" fontId="27" fillId="38" borderId="19" xfId="57" applyNumberFormat="1" applyFont="1" applyFill="1" applyBorder="1" applyAlignment="1">
      <alignment horizontal="right" vertical="center" wrapText="1"/>
      <protection/>
    </xf>
    <xf numFmtId="2" fontId="27" fillId="38" borderId="10" xfId="57" applyNumberFormat="1" applyFont="1" applyFill="1" applyBorder="1" applyAlignment="1">
      <alignment horizontal="right" vertical="center" wrapText="1"/>
      <protection/>
    </xf>
    <xf numFmtId="49" fontId="35" fillId="0" borderId="10" xfId="57" applyNumberFormat="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/>
    </xf>
    <xf numFmtId="2" fontId="28" fillId="0" borderId="10" xfId="57" applyNumberFormat="1" applyFont="1" applyFill="1" applyBorder="1" applyAlignment="1">
      <alignment horizontal="center" vertical="center" wrapText="1"/>
      <protection/>
    </xf>
    <xf numFmtId="2" fontId="30" fillId="33" borderId="10" xfId="57" applyNumberFormat="1" applyFont="1" applyFill="1" applyBorder="1" applyAlignment="1">
      <alignment horizontal="center" vertical="center" wrapText="1"/>
      <protection/>
    </xf>
    <xf numFmtId="4" fontId="30" fillId="0" borderId="10" xfId="57" applyNumberFormat="1" applyFont="1" applyFill="1" applyBorder="1" applyAlignment="1">
      <alignment horizontal="center" vertical="center" wrapText="1"/>
      <protection/>
    </xf>
    <xf numFmtId="4" fontId="27" fillId="38" borderId="13" xfId="57" applyNumberFormat="1" applyFont="1" applyFill="1" applyBorder="1" applyAlignment="1">
      <alignment vertical="center" wrapText="1"/>
      <protection/>
    </xf>
    <xf numFmtId="4" fontId="27" fillId="38" borderId="14" xfId="57" applyNumberFormat="1" applyFont="1" applyFill="1" applyBorder="1" applyAlignment="1">
      <alignment vertical="center" wrapText="1"/>
      <protection/>
    </xf>
    <xf numFmtId="4" fontId="27" fillId="38" borderId="20" xfId="57" applyNumberFormat="1" applyFont="1" applyFill="1" applyBorder="1" applyAlignment="1">
      <alignment vertical="center" wrapText="1"/>
      <protection/>
    </xf>
    <xf numFmtId="0" fontId="29" fillId="0" borderId="10" xfId="0" applyFont="1" applyBorder="1" applyAlignment="1">
      <alignment/>
    </xf>
    <xf numFmtId="0" fontId="20" fillId="0" borderId="0" xfId="57" applyFont="1" applyBorder="1" applyAlignment="1">
      <alignment vertical="center" wrapText="1"/>
      <protection/>
    </xf>
    <xf numFmtId="1" fontId="61" fillId="0" borderId="0" xfId="57" applyNumberFormat="1" applyFont="1" applyFill="1" applyBorder="1" applyAlignment="1">
      <alignment horizontal="left" vertical="center"/>
      <protection/>
    </xf>
    <xf numFmtId="0" fontId="29" fillId="33" borderId="10" xfId="57" applyFont="1" applyFill="1" applyBorder="1" applyAlignment="1">
      <alignment horizontal="left" vertical="center" wrapText="1"/>
      <protection/>
    </xf>
    <xf numFmtId="0" fontId="29" fillId="33" borderId="10" xfId="57" applyFont="1" applyFill="1" applyBorder="1" applyAlignment="1">
      <alignment horizontal="center" vertical="center" wrapText="1"/>
      <protection/>
    </xf>
    <xf numFmtId="0" fontId="29" fillId="33" borderId="10" xfId="54" applyNumberFormat="1" applyFont="1" applyFill="1" applyBorder="1" applyAlignment="1">
      <alignment horizontal="left" vertical="center" wrapText="1"/>
      <protection/>
    </xf>
    <xf numFmtId="4" fontId="27" fillId="35" borderId="21" xfId="57" applyNumberFormat="1" applyFont="1" applyFill="1" applyBorder="1" applyAlignment="1">
      <alignment vertical="center" wrapText="1"/>
      <protection/>
    </xf>
    <xf numFmtId="4" fontId="27" fillId="35" borderId="22" xfId="57" applyNumberFormat="1" applyFont="1" applyFill="1" applyBorder="1" applyAlignment="1">
      <alignment vertical="center" wrapText="1"/>
      <protection/>
    </xf>
    <xf numFmtId="0" fontId="35" fillId="33" borderId="10" xfId="57" applyFont="1" applyFill="1" applyBorder="1" applyAlignment="1">
      <alignment horizontal="center" vertical="center" wrapText="1"/>
      <protection/>
    </xf>
    <xf numFmtId="2" fontId="28" fillId="33" borderId="10" xfId="57" applyNumberFormat="1" applyFont="1" applyFill="1" applyBorder="1" applyAlignment="1">
      <alignment horizontal="center" vertical="center" wrapText="1"/>
      <protection/>
    </xf>
    <xf numFmtId="49" fontId="29" fillId="0" borderId="10" xfId="57" applyNumberFormat="1" applyFont="1" applyBorder="1" applyAlignment="1" quotePrefix="1">
      <alignment horizontal="center" vertical="center" wrapText="1"/>
      <protection/>
    </xf>
    <xf numFmtId="0" fontId="29" fillId="33" borderId="10" xfId="57" applyFont="1" applyFill="1" applyBorder="1" applyAlignment="1">
      <alignment vertical="center" wrapText="1"/>
      <protection/>
    </xf>
    <xf numFmtId="0" fontId="60" fillId="0" borderId="10" xfId="57" applyFont="1" applyBorder="1" applyAlignment="1">
      <alignment horizontal="left" vertical="center" wrapText="1"/>
      <protection/>
    </xf>
    <xf numFmtId="4" fontId="60" fillId="33" borderId="10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Border="1" applyAlignment="1">
      <alignment horizontal="left" vertical="center"/>
      <protection/>
    </xf>
    <xf numFmtId="0" fontId="60" fillId="33" borderId="10" xfId="57" applyFont="1" applyFill="1" applyBorder="1" applyAlignment="1">
      <alignment horizontal="left" vertical="center" wrapText="1"/>
      <protection/>
    </xf>
    <xf numFmtId="0" fontId="60" fillId="0" borderId="10" xfId="57" applyFont="1" applyFill="1" applyBorder="1" applyAlignment="1">
      <alignment horizontal="center" vertical="center" wrapText="1"/>
      <protection/>
    </xf>
    <xf numFmtId="0" fontId="60" fillId="33" borderId="10" xfId="57" applyFont="1" applyFill="1" applyBorder="1" applyAlignment="1">
      <alignment horizontal="center" vertical="center" wrapText="1"/>
      <protection/>
    </xf>
    <xf numFmtId="2" fontId="61" fillId="33" borderId="10" xfId="57" applyNumberFormat="1" applyFont="1" applyFill="1" applyBorder="1" applyAlignment="1">
      <alignment horizontal="center" vertical="center" wrapText="1"/>
      <protection/>
    </xf>
    <xf numFmtId="168" fontId="60" fillId="0" borderId="10" xfId="57" applyNumberFormat="1" applyFont="1" applyBorder="1" applyAlignment="1">
      <alignment horizontal="center" vertical="center" wrapText="1"/>
      <protection/>
    </xf>
    <xf numFmtId="4" fontId="61" fillId="0" borderId="10" xfId="57" applyNumberFormat="1" applyFont="1" applyFill="1" applyBorder="1" applyAlignment="1">
      <alignment horizontal="center" vertical="center" wrapText="1"/>
      <protection/>
    </xf>
    <xf numFmtId="0" fontId="39" fillId="0" borderId="0" xfId="57" applyFont="1" applyBorder="1" applyAlignment="1">
      <alignment horizontal="left" vertical="center" wrapText="1"/>
      <protection/>
    </xf>
    <xf numFmtId="0" fontId="30" fillId="40" borderId="10" xfId="57" applyFont="1" applyFill="1" applyBorder="1" applyAlignment="1" applyProtection="1">
      <alignment horizontal="center" vertical="center" wrapText="1"/>
      <protection locked="0"/>
    </xf>
    <xf numFmtId="4" fontId="30" fillId="33" borderId="10" xfId="57" applyNumberFormat="1" applyFont="1" applyFill="1" applyBorder="1" applyAlignment="1">
      <alignment horizontal="center" vertical="center" wrapText="1"/>
      <protection/>
    </xf>
    <xf numFmtId="0" fontId="30" fillId="41" borderId="10" xfId="57" applyFont="1" applyFill="1" applyBorder="1" applyAlignment="1" applyProtection="1">
      <alignment horizontal="center" vertical="center" wrapText="1"/>
      <protection locked="0"/>
    </xf>
    <xf numFmtId="0" fontId="39" fillId="0" borderId="0" xfId="57" applyFont="1" applyBorder="1" applyAlignment="1">
      <alignment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1" fontId="40" fillId="0" borderId="0" xfId="57" applyNumberFormat="1" applyFont="1" applyFill="1" applyBorder="1" applyAlignment="1">
      <alignment vertical="center"/>
      <protection/>
    </xf>
    <xf numFmtId="0" fontId="41" fillId="0" borderId="0" xfId="57" applyFont="1" applyBorder="1" applyAlignment="1">
      <alignment horizontal="left" vertical="center" wrapText="1"/>
      <protection/>
    </xf>
    <xf numFmtId="4" fontId="35" fillId="33" borderId="10" xfId="57" applyNumberFormat="1" applyFont="1" applyFill="1" applyBorder="1" applyAlignment="1">
      <alignment horizontal="center" vertical="center" wrapText="1"/>
      <protection/>
    </xf>
    <xf numFmtId="0" fontId="28" fillId="40" borderId="10" xfId="57" applyFont="1" applyFill="1" applyBorder="1" applyAlignment="1" applyProtection="1">
      <alignment horizontal="center" vertical="center" wrapText="1"/>
      <protection/>
    </xf>
    <xf numFmtId="4" fontId="28" fillId="33" borderId="10" xfId="57" applyNumberFormat="1" applyFont="1" applyFill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4" fontId="19" fillId="38" borderId="20" xfId="57" applyNumberFormat="1" applyFont="1" applyFill="1" applyBorder="1" applyAlignment="1">
      <alignment vertical="center" wrapText="1"/>
      <protection/>
    </xf>
    <xf numFmtId="4" fontId="19" fillId="38" borderId="17" xfId="57" applyNumberFormat="1" applyFont="1" applyFill="1" applyBorder="1" applyAlignment="1">
      <alignment vertical="center" wrapText="1"/>
      <protection/>
    </xf>
    <xf numFmtId="165" fontId="30" fillId="0" borderId="10" xfId="57" applyNumberFormat="1" applyFont="1" applyFill="1" applyBorder="1" applyAlignment="1">
      <alignment horizontal="center" vertical="center" wrapText="1"/>
      <protection/>
    </xf>
    <xf numFmtId="165" fontId="27" fillId="38" borderId="17" xfId="57" applyNumberFormat="1" applyFont="1" applyFill="1" applyBorder="1" applyAlignment="1">
      <alignment vertical="center" wrapText="1"/>
      <protection/>
    </xf>
    <xf numFmtId="0" fontId="38" fillId="0" borderId="0" xfId="57" applyFont="1" applyBorder="1" applyAlignment="1">
      <alignment vertical="center" wrapText="1"/>
      <protection/>
    </xf>
    <xf numFmtId="0" fontId="60" fillId="33" borderId="10" xfId="57" applyFont="1" applyFill="1" applyBorder="1" applyAlignment="1">
      <alignment vertical="center" wrapText="1"/>
      <protection/>
    </xf>
    <xf numFmtId="0" fontId="61" fillId="39" borderId="10" xfId="57" applyFont="1" applyFill="1" applyBorder="1" applyAlignment="1" applyProtection="1">
      <alignment horizontal="center" vertical="center" wrapText="1"/>
      <protection/>
    </xf>
    <xf numFmtId="1" fontId="26" fillId="0" borderId="0" xfId="57" applyNumberFormat="1" applyFont="1" applyFill="1" applyBorder="1" applyAlignment="1">
      <alignment vertical="center"/>
      <protection/>
    </xf>
    <xf numFmtId="1" fontId="19" fillId="33" borderId="0" xfId="57" applyNumberFormat="1" applyFont="1" applyFill="1" applyBorder="1" applyAlignment="1">
      <alignment vertical="center"/>
      <protection/>
    </xf>
    <xf numFmtId="1" fontId="29" fillId="33" borderId="10" xfId="57" applyNumberFormat="1" applyFont="1" applyFill="1" applyBorder="1" applyAlignment="1">
      <alignment horizontal="center" vertical="center" wrapText="1"/>
      <protection/>
    </xf>
    <xf numFmtId="0" fontId="29" fillId="33" borderId="23" xfId="56" applyNumberFormat="1" applyFont="1" applyFill="1" applyBorder="1" applyAlignment="1">
      <alignment vertical="top" wrapText="1"/>
      <protection/>
    </xf>
    <xf numFmtId="0" fontId="30" fillId="33" borderId="10" xfId="57" applyFont="1" applyFill="1" applyBorder="1" applyAlignment="1">
      <alignment horizontal="center" vertical="center" wrapText="1"/>
      <protection/>
    </xf>
    <xf numFmtId="0" fontId="30" fillId="41" borderId="10" xfId="57" applyFont="1" applyFill="1" applyBorder="1" applyAlignment="1">
      <alignment horizontal="center" vertical="center" wrapText="1"/>
      <protection/>
    </xf>
    <xf numFmtId="1" fontId="20" fillId="33" borderId="0" xfId="57" applyNumberFormat="1" applyFont="1" applyFill="1" applyBorder="1" applyAlignment="1">
      <alignment vertical="center"/>
      <protection/>
    </xf>
    <xf numFmtId="1" fontId="24" fillId="33" borderId="0" xfId="57" applyNumberFormat="1" applyFont="1" applyFill="1" applyBorder="1" applyAlignment="1">
      <alignment vertical="center"/>
      <protection/>
    </xf>
    <xf numFmtId="1" fontId="42" fillId="0" borderId="0" xfId="57" applyNumberFormat="1" applyFont="1" applyFill="1" applyBorder="1" applyAlignment="1">
      <alignment vertical="center"/>
      <protection/>
    </xf>
    <xf numFmtId="0" fontId="29" fillId="0" borderId="10" xfId="57" applyFont="1" applyFill="1" applyBorder="1" applyAlignment="1">
      <alignment vertical="center" wrapText="1"/>
      <protection/>
    </xf>
    <xf numFmtId="0" fontId="30" fillId="42" borderId="10" xfId="57" applyFont="1" applyFill="1" applyBorder="1" applyAlignment="1" applyProtection="1">
      <alignment horizontal="center" vertical="center" wrapText="1"/>
      <protection locked="0"/>
    </xf>
    <xf numFmtId="0" fontId="30" fillId="33" borderId="10" xfId="57" applyFont="1" applyFill="1" applyBorder="1" applyAlignment="1">
      <alignment horizontal="left" vertical="center" wrapText="1"/>
      <protection/>
    </xf>
    <xf numFmtId="1" fontId="36" fillId="0" borderId="0" xfId="57" applyNumberFormat="1" applyFont="1" applyFill="1" applyBorder="1" applyAlignment="1">
      <alignment vertical="center"/>
      <protection/>
    </xf>
    <xf numFmtId="0" fontId="29" fillId="33" borderId="10" xfId="55" applyNumberFormat="1" applyFont="1" applyFill="1" applyBorder="1" applyAlignment="1">
      <alignment horizontal="left" vertical="top" wrapText="1"/>
      <protection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1" fontId="19" fillId="0" borderId="0" xfId="57" applyNumberFormat="1" applyFont="1" applyFill="1" applyBorder="1" applyAlignment="1">
      <alignment vertical="center"/>
      <protection/>
    </xf>
    <xf numFmtId="1" fontId="24" fillId="0" borderId="0" xfId="57" applyNumberFormat="1" applyFont="1" applyFill="1" applyBorder="1" applyAlignment="1">
      <alignment vertical="center"/>
      <protection/>
    </xf>
    <xf numFmtId="0" fontId="27" fillId="35" borderId="16" xfId="57" applyFont="1" applyFill="1" applyBorder="1" applyAlignment="1">
      <alignment horizontal="center" vertical="center" wrapText="1"/>
      <protection/>
    </xf>
    <xf numFmtId="0" fontId="27" fillId="35" borderId="17" xfId="57" applyFont="1" applyFill="1" applyBorder="1" applyAlignment="1">
      <alignment horizontal="center" vertical="center" wrapText="1"/>
      <protection/>
    </xf>
    <xf numFmtId="4" fontId="19" fillId="38" borderId="16" xfId="57" applyNumberFormat="1" applyFont="1" applyFill="1" applyBorder="1" applyAlignment="1">
      <alignment vertical="center" wrapText="1"/>
      <protection/>
    </xf>
    <xf numFmtId="49" fontId="29" fillId="33" borderId="10" xfId="57" applyNumberFormat="1" applyFont="1" applyFill="1" applyBorder="1" applyAlignment="1">
      <alignment vertical="center" wrapText="1"/>
      <protection/>
    </xf>
    <xf numFmtId="4" fontId="30" fillId="33" borderId="15" xfId="57" applyNumberFormat="1" applyFont="1" applyFill="1" applyBorder="1" applyAlignment="1">
      <alignment horizontal="center" vertical="center" wrapText="1"/>
      <protection/>
    </xf>
    <xf numFmtId="4" fontId="19" fillId="33" borderId="16" xfId="57" applyNumberFormat="1" applyFont="1" applyFill="1" applyBorder="1" applyAlignment="1">
      <alignment vertical="center" wrapText="1"/>
      <protection/>
    </xf>
    <xf numFmtId="4" fontId="27" fillId="33" borderId="17" xfId="57" applyNumberFormat="1" applyFont="1" applyFill="1" applyBorder="1" applyAlignment="1">
      <alignment vertical="center" wrapText="1"/>
      <protection/>
    </xf>
    <xf numFmtId="0" fontId="29" fillId="0" borderId="10" xfId="0" applyFont="1" applyBorder="1" applyAlignment="1">
      <alignment vertical="top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33" borderId="10" xfId="57" applyNumberFormat="1" applyFont="1" applyFill="1" applyBorder="1" applyAlignment="1" applyProtection="1">
      <alignment horizontal="center" vertical="center" wrapText="1"/>
      <protection/>
    </xf>
    <xf numFmtId="3" fontId="29" fillId="33" borderId="10" xfId="57" applyNumberFormat="1" applyFont="1" applyFill="1" applyBorder="1" applyAlignment="1">
      <alignment horizontal="center" vertical="center" wrapText="1"/>
      <protection/>
    </xf>
    <xf numFmtId="1" fontId="29" fillId="0" borderId="24" xfId="57" applyNumberFormat="1" applyFont="1" applyBorder="1" applyAlignment="1">
      <alignment horizontal="center" vertical="center" wrapText="1"/>
      <protection/>
    </xf>
    <xf numFmtId="49" fontId="29" fillId="0" borderId="24" xfId="57" applyNumberFormat="1" applyFont="1" applyBorder="1" applyAlignment="1">
      <alignment vertical="center" wrapText="1"/>
      <protection/>
    </xf>
    <xf numFmtId="0" fontId="29" fillId="33" borderId="25" xfId="54" applyNumberFormat="1" applyFont="1" applyFill="1" applyBorder="1" applyAlignment="1">
      <alignment vertical="top" wrapText="1"/>
      <protection/>
    </xf>
    <xf numFmtId="0" fontId="29" fillId="33" borderId="24" xfId="57" applyFont="1" applyFill="1" applyBorder="1" applyAlignment="1">
      <alignment horizontal="center" vertical="center" wrapText="1"/>
      <protection/>
    </xf>
    <xf numFmtId="2" fontId="30" fillId="33" borderId="24" xfId="57" applyNumberFormat="1" applyFont="1" applyFill="1" applyBorder="1" applyAlignment="1">
      <alignment horizontal="center" vertical="center" wrapText="1"/>
      <protection/>
    </xf>
    <xf numFmtId="0" fontId="30" fillId="37" borderId="24" xfId="57" applyFont="1" applyFill="1" applyBorder="1" applyAlignment="1" applyProtection="1">
      <alignment horizontal="center" vertical="center" wrapText="1"/>
      <protection locked="0"/>
    </xf>
    <xf numFmtId="4" fontId="30" fillId="0" borderId="24" xfId="57" applyNumberFormat="1" applyFont="1" applyFill="1" applyBorder="1" applyAlignment="1">
      <alignment horizontal="center" vertical="center" wrapText="1"/>
      <protection/>
    </xf>
    <xf numFmtId="0" fontId="23" fillId="33" borderId="0" xfId="57" applyFont="1" applyFill="1" applyBorder="1" applyAlignment="1" applyProtection="1">
      <alignment vertical="top" wrapText="1"/>
      <protection locked="0"/>
    </xf>
    <xf numFmtId="2" fontId="23" fillId="33" borderId="0" xfId="57" applyNumberFormat="1" applyFont="1" applyFill="1" applyBorder="1" applyAlignment="1" applyProtection="1">
      <alignment vertical="top" wrapText="1"/>
      <protection locked="0"/>
    </xf>
    <xf numFmtId="49" fontId="29" fillId="0" borderId="0" xfId="57" applyNumberFormat="1" applyFont="1" applyFill="1" applyBorder="1" applyAlignment="1" applyProtection="1">
      <alignment horizontal="center" vertical="top" wrapText="1"/>
      <protection locked="0"/>
    </xf>
    <xf numFmtId="0" fontId="29" fillId="0" borderId="0" xfId="0" applyFont="1" applyFill="1" applyBorder="1" applyAlignment="1">
      <alignment/>
    </xf>
    <xf numFmtId="9" fontId="19" fillId="0" borderId="0" xfId="57" applyNumberFormat="1" applyFont="1" applyFill="1" applyBorder="1" applyAlignment="1">
      <alignment vertical="center" wrapText="1"/>
      <protection/>
    </xf>
    <xf numFmtId="1" fontId="30" fillId="0" borderId="0" xfId="0" applyNumberFormat="1" applyFont="1" applyFill="1" applyBorder="1" applyAlignment="1">
      <alignment horizontal="right"/>
    </xf>
    <xf numFmtId="164" fontId="30" fillId="0" borderId="0" xfId="57" applyNumberFormat="1" applyFont="1" applyFill="1" applyBorder="1" applyAlignment="1" applyProtection="1">
      <alignment horizontal="right" vertical="center"/>
      <protection locked="0"/>
    </xf>
    <xf numFmtId="0" fontId="30" fillId="0" borderId="0" xfId="57" applyFont="1" applyFill="1" applyBorder="1" applyAlignment="1">
      <alignment horizontal="right" vertical="center" wrapText="1"/>
      <protection/>
    </xf>
    <xf numFmtId="4" fontId="30" fillId="0" borderId="0" xfId="42" applyNumberFormat="1" applyFont="1" applyFill="1" applyBorder="1" applyAlignment="1" applyProtection="1">
      <alignment horizontal="right" vertical="center"/>
      <protection/>
    </xf>
    <xf numFmtId="166" fontId="30" fillId="0" borderId="0" xfId="57" applyNumberFormat="1" applyFont="1" applyFill="1" applyBorder="1" applyAlignment="1">
      <alignment horizontal="right" vertical="top" wrapText="1"/>
      <protection/>
    </xf>
    <xf numFmtId="0" fontId="43" fillId="0" borderId="26" xfId="5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3" fillId="0" borderId="27" xfId="53" applyFont="1" applyFill="1" applyBorder="1" applyAlignment="1">
      <alignment vertical="center"/>
      <protection/>
    </xf>
    <xf numFmtId="0" fontId="30" fillId="0" borderId="0" xfId="57" applyFont="1" applyAlignment="1">
      <alignment horizontal="center"/>
      <protection/>
    </xf>
    <xf numFmtId="0" fontId="43" fillId="0" borderId="0" xfId="53" applyFont="1" applyFill="1" applyAlignment="1">
      <alignment vertical="center"/>
      <protection/>
    </xf>
    <xf numFmtId="0" fontId="21" fillId="0" borderId="0" xfId="57" applyFont="1" applyBorder="1" applyAlignment="1">
      <alignment horizontal="center" vertical="center" wrapText="1"/>
      <protection/>
    </xf>
    <xf numFmtId="14" fontId="30" fillId="0" borderId="0" xfId="57" applyNumberFormat="1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Reoflex" xfId="54"/>
    <cellStyle name="Обычный_Reoflex " xfId="55"/>
    <cellStyle name="Обычный_Reoflex €" xfId="56"/>
    <cellStyle name="Обычный_Прайс autorepear ТД ЭКОПОЛ 15 июль 200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5"/>
  <sheetViews>
    <sheetView tabSelected="1" zoomScalePageLayoutView="0" workbookViewId="0" topLeftCell="A1">
      <selection activeCell="O8" sqref="O8"/>
    </sheetView>
  </sheetViews>
  <sheetFormatPr defaultColWidth="5.50390625" defaultRowHeight="15.75"/>
  <cols>
    <col min="1" max="1" width="14.00390625" style="3" customWidth="1"/>
    <col min="2" max="2" width="16.875" style="4" customWidth="1"/>
    <col min="3" max="3" width="16.125" style="6" customWidth="1"/>
    <col min="4" max="4" width="11.00390625" style="6" customWidth="1"/>
    <col min="5" max="5" width="9.75390625" style="6" customWidth="1"/>
    <col min="6" max="6" width="8.50390625" style="21" customWidth="1"/>
    <col min="7" max="7" width="11.125" style="1" customWidth="1"/>
    <col min="8" max="8" width="5.50390625" style="1" customWidth="1"/>
    <col min="9" max="9" width="9.375" style="1" customWidth="1"/>
    <col min="10" max="11" width="5.50390625" style="1" customWidth="1"/>
    <col min="12" max="12" width="5.50390625" style="2" customWidth="1"/>
    <col min="13" max="16384" width="5.50390625" style="1" customWidth="1"/>
  </cols>
  <sheetData>
    <row r="1" spans="1:47" ht="18.75" customHeight="1">
      <c r="A1" s="188" t="s">
        <v>700</v>
      </c>
      <c r="B1" s="189"/>
      <c r="C1" s="22"/>
      <c r="D1" s="22"/>
      <c r="E1" s="22"/>
      <c r="F1" s="22"/>
      <c r="G1" s="182"/>
      <c r="H1" s="183"/>
      <c r="I1" s="184"/>
      <c r="J1" s="23"/>
      <c r="K1" s="23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ht="18.75" customHeight="1">
      <c r="A2" s="190" t="s">
        <v>701</v>
      </c>
      <c r="B2" s="191"/>
      <c r="C2" s="22"/>
      <c r="D2" s="22"/>
      <c r="E2" s="22"/>
      <c r="F2" s="22"/>
      <c r="G2" s="12"/>
      <c r="H2" s="185"/>
      <c r="I2" s="186"/>
      <c r="J2" s="26"/>
      <c r="K2" s="26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12.75">
      <c r="A3" s="192" t="s">
        <v>702</v>
      </c>
      <c r="B3" s="191"/>
      <c r="C3" s="27"/>
      <c r="D3" s="180"/>
      <c r="E3" s="181"/>
      <c r="F3" s="181"/>
      <c r="G3" s="12"/>
      <c r="H3" s="185"/>
      <c r="I3" s="187"/>
      <c r="J3" s="28"/>
      <c r="K3" s="28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3:47" ht="12.75">
      <c r="C4" s="29"/>
      <c r="D4" s="178"/>
      <c r="E4" s="178"/>
      <c r="F4" s="179"/>
      <c r="G4" s="12"/>
      <c r="H4" s="185"/>
      <c r="I4" s="187"/>
      <c r="J4" s="28"/>
      <c r="K4" s="28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s="5" customFormat="1" ht="15.75">
      <c r="A5" s="193" t="s">
        <v>703</v>
      </c>
      <c r="B5" s="193"/>
      <c r="C5" s="193"/>
      <c r="D5" s="193"/>
      <c r="E5" s="193"/>
      <c r="F5" s="193"/>
      <c r="G5" s="193"/>
      <c r="H5" s="193"/>
      <c r="I5" s="193"/>
      <c r="J5" s="30"/>
      <c r="K5" s="30"/>
      <c r="L5" s="24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s="5" customFormat="1" ht="12.75">
      <c r="A6" s="194">
        <v>44949</v>
      </c>
      <c r="B6" s="195"/>
      <c r="C6" s="195"/>
      <c r="D6" s="195"/>
      <c r="E6" s="195"/>
      <c r="F6" s="195"/>
      <c r="G6" s="195"/>
      <c r="H6" s="195"/>
      <c r="I6" s="195"/>
      <c r="J6" s="30"/>
      <c r="K6" s="30"/>
      <c r="L6" s="24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12.75">
      <c r="A7" s="32" t="s">
        <v>0</v>
      </c>
      <c r="B7" s="32"/>
      <c r="C7" s="32"/>
      <c r="D7" s="32"/>
      <c r="E7" s="32"/>
      <c r="F7" s="32"/>
      <c r="G7" s="32"/>
      <c r="H7" s="32"/>
      <c r="I7" s="33"/>
      <c r="J7" s="34"/>
      <c r="K7" s="34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6" customFormat="1" ht="108.75" customHeight="1">
      <c r="A8" s="35" t="s">
        <v>1</v>
      </c>
      <c r="B8" s="36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  <c r="I8" s="37" t="s">
        <v>9</v>
      </c>
      <c r="J8" s="38" t="s">
        <v>10</v>
      </c>
      <c r="K8" s="38" t="s">
        <v>11</v>
      </c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3" ht="12.75">
      <c r="A9" s="32" t="s">
        <v>12</v>
      </c>
      <c r="B9" s="32"/>
      <c r="C9" s="32"/>
      <c r="D9" s="32"/>
      <c r="E9" s="32"/>
      <c r="F9" s="32"/>
      <c r="G9" s="32"/>
      <c r="H9" s="32"/>
      <c r="I9" s="39"/>
      <c r="J9" s="40"/>
      <c r="K9" s="41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ht="12.75">
      <c r="A10" s="42">
        <v>4607116122006</v>
      </c>
      <c r="B10" s="43" t="s">
        <v>13</v>
      </c>
      <c r="C10" s="44" t="s">
        <v>14</v>
      </c>
      <c r="D10" s="45" t="s">
        <v>15</v>
      </c>
      <c r="E10" s="45">
        <v>8</v>
      </c>
      <c r="F10" s="46">
        <v>0</v>
      </c>
      <c r="G10" s="47">
        <f>F10-F10*$I$1/100</f>
        <v>0</v>
      </c>
      <c r="H10" s="48"/>
      <c r="I10" s="49">
        <f>G10*H10</f>
        <v>0</v>
      </c>
      <c r="J10" s="50">
        <f>H10*0.69</f>
        <v>0</v>
      </c>
      <c r="K10" s="51">
        <f>H10*0.6</f>
        <v>0</v>
      </c>
      <c r="L10" s="24" t="s">
        <v>16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.75">
      <c r="A11" s="42">
        <v>4607116120385</v>
      </c>
      <c r="B11" s="43" t="s">
        <v>17</v>
      </c>
      <c r="C11" s="44" t="s">
        <v>18</v>
      </c>
      <c r="D11" s="45" t="s">
        <v>19</v>
      </c>
      <c r="E11" s="45">
        <v>8</v>
      </c>
      <c r="F11" s="46">
        <v>0</v>
      </c>
      <c r="G11" s="47">
        <f>F11-F11*$I$1/100</f>
        <v>0</v>
      </c>
      <c r="H11" s="48"/>
      <c r="I11" s="49">
        <f>G11*H11</f>
        <v>0</v>
      </c>
      <c r="J11" s="50">
        <f>H11*1.175</f>
        <v>0</v>
      </c>
      <c r="K11" s="51">
        <f>H11*1</f>
        <v>0</v>
      </c>
      <c r="L11" s="24" t="s">
        <v>16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.75">
      <c r="A12" s="42">
        <v>4607116120392</v>
      </c>
      <c r="B12" s="43" t="s">
        <v>20</v>
      </c>
      <c r="C12" s="44" t="s">
        <v>21</v>
      </c>
      <c r="D12" s="45" t="s">
        <v>22</v>
      </c>
      <c r="E12" s="45">
        <v>4</v>
      </c>
      <c r="F12" s="46">
        <v>0</v>
      </c>
      <c r="G12" s="47">
        <f>F12-F12*$I$1/100</f>
        <v>0</v>
      </c>
      <c r="H12" s="48"/>
      <c r="I12" s="49">
        <f>G12*H12</f>
        <v>0</v>
      </c>
      <c r="J12" s="50">
        <f>H12*2.25</f>
        <v>0</v>
      </c>
      <c r="K12" s="51">
        <f>H12*2</f>
        <v>0</v>
      </c>
      <c r="L12" s="24" t="s">
        <v>16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2.75">
      <c r="A13" s="42">
        <v>4607116122013</v>
      </c>
      <c r="B13" s="43" t="s">
        <v>23</v>
      </c>
      <c r="C13" s="44" t="s">
        <v>24</v>
      </c>
      <c r="D13" s="45" t="s">
        <v>15</v>
      </c>
      <c r="E13" s="45">
        <v>8</v>
      </c>
      <c r="F13" s="46">
        <v>0</v>
      </c>
      <c r="G13" s="47">
        <f>F13-F13*$I$1/100</f>
        <v>0</v>
      </c>
      <c r="H13" s="48"/>
      <c r="I13" s="49">
        <f>G13*H13</f>
        <v>0</v>
      </c>
      <c r="J13" s="50">
        <f>H13*0.69</f>
        <v>0</v>
      </c>
      <c r="K13" s="51">
        <f>H13*0.6</f>
        <v>0</v>
      </c>
      <c r="L13" s="24" t="s">
        <v>16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2.75">
      <c r="A14" s="42">
        <v>4607116120606</v>
      </c>
      <c r="B14" s="43" t="s">
        <v>25</v>
      </c>
      <c r="C14" s="44" t="s">
        <v>26</v>
      </c>
      <c r="D14" s="45" t="s">
        <v>27</v>
      </c>
      <c r="E14" s="45">
        <v>8</v>
      </c>
      <c r="F14" s="46">
        <v>0</v>
      </c>
      <c r="G14" s="47">
        <f>F14-F14*$I$1/100</f>
        <v>0</v>
      </c>
      <c r="H14" s="48"/>
      <c r="I14" s="49">
        <f aca="true" t="shared" si="0" ref="I14:I24">G14*H14</f>
        <v>0</v>
      </c>
      <c r="J14" s="50">
        <f>H14*1.175</f>
        <v>0</v>
      </c>
      <c r="K14" s="51">
        <f>H14*1</f>
        <v>0</v>
      </c>
      <c r="L14" s="24" t="s">
        <v>16</v>
      </c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.75">
      <c r="A15" s="42">
        <v>4607116120613</v>
      </c>
      <c r="B15" s="43" t="s">
        <v>28</v>
      </c>
      <c r="C15" s="44" t="s">
        <v>29</v>
      </c>
      <c r="D15" s="45" t="s">
        <v>22</v>
      </c>
      <c r="E15" s="45">
        <v>4</v>
      </c>
      <c r="F15" s="46">
        <v>0</v>
      </c>
      <c r="G15" s="47">
        <f>F15-F15*$I$1/100</f>
        <v>0</v>
      </c>
      <c r="H15" s="48"/>
      <c r="I15" s="49">
        <f t="shared" si="0"/>
        <v>0</v>
      </c>
      <c r="J15" s="50">
        <f>H15*2.25</f>
        <v>0</v>
      </c>
      <c r="K15" s="51">
        <f>H15*2</f>
        <v>0</v>
      </c>
      <c r="L15" s="24" t="s">
        <v>16</v>
      </c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6" customFormat="1" ht="12.75">
      <c r="A16" s="42">
        <v>4607116122020</v>
      </c>
      <c r="B16" s="43" t="s">
        <v>30</v>
      </c>
      <c r="C16" s="44" t="s">
        <v>31</v>
      </c>
      <c r="D16" s="45" t="s">
        <v>32</v>
      </c>
      <c r="E16" s="45">
        <v>8</v>
      </c>
      <c r="F16" s="46">
        <v>0</v>
      </c>
      <c r="G16" s="47">
        <f>F16-F16*$I$1/100</f>
        <v>0</v>
      </c>
      <c r="H16" s="48"/>
      <c r="I16" s="49">
        <f t="shared" si="0"/>
        <v>0</v>
      </c>
      <c r="J16" s="50">
        <f>H16*0.69</f>
        <v>0</v>
      </c>
      <c r="K16" s="51">
        <f>H16*0.6</f>
        <v>0</v>
      </c>
      <c r="L16" s="24" t="s">
        <v>16</v>
      </c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6" customFormat="1" ht="12.75">
      <c r="A17" s="52">
        <v>4607116120477</v>
      </c>
      <c r="B17" s="53" t="s">
        <v>33</v>
      </c>
      <c r="C17" s="54" t="s">
        <v>34</v>
      </c>
      <c r="D17" s="55" t="s">
        <v>27</v>
      </c>
      <c r="E17" s="55">
        <v>8</v>
      </c>
      <c r="F17" s="56">
        <v>0</v>
      </c>
      <c r="G17" s="57">
        <f>F17-F17*$I$1/100</f>
        <v>0</v>
      </c>
      <c r="H17" s="58"/>
      <c r="I17" s="59">
        <f t="shared" si="0"/>
        <v>0</v>
      </c>
      <c r="J17" s="50">
        <f>H17*1.175</f>
        <v>0</v>
      </c>
      <c r="K17" s="51">
        <f>H17*1</f>
        <v>0</v>
      </c>
      <c r="L17" s="24" t="s">
        <v>16</v>
      </c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2.75">
      <c r="A18" s="42">
        <v>4607116120484</v>
      </c>
      <c r="B18" s="43" t="s">
        <v>35</v>
      </c>
      <c r="C18" s="44" t="s">
        <v>36</v>
      </c>
      <c r="D18" s="45" t="s">
        <v>37</v>
      </c>
      <c r="E18" s="45">
        <v>4</v>
      </c>
      <c r="F18" s="46">
        <v>0</v>
      </c>
      <c r="G18" s="47">
        <f>F18-F18*$I$1/100</f>
        <v>0</v>
      </c>
      <c r="H18" s="60"/>
      <c r="I18" s="49">
        <f t="shared" si="0"/>
        <v>0</v>
      </c>
      <c r="J18" s="50">
        <f>H18*2.25</f>
        <v>0</v>
      </c>
      <c r="K18" s="51">
        <f>H18*2</f>
        <v>0</v>
      </c>
      <c r="L18" s="24" t="s">
        <v>16</v>
      </c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2.75">
      <c r="A19" s="42">
        <v>4607116120408</v>
      </c>
      <c r="B19" s="43" t="s">
        <v>38</v>
      </c>
      <c r="C19" s="44" t="s">
        <v>39</v>
      </c>
      <c r="D19" s="45" t="s">
        <v>40</v>
      </c>
      <c r="E19" s="45">
        <v>8</v>
      </c>
      <c r="F19" s="46">
        <v>0</v>
      </c>
      <c r="G19" s="47">
        <f>F19-F19*$I$1/100</f>
        <v>0</v>
      </c>
      <c r="H19" s="48"/>
      <c r="I19" s="49">
        <f>G19*H19</f>
        <v>0</v>
      </c>
      <c r="J19" s="50">
        <f>H19*0.594</f>
        <v>0</v>
      </c>
      <c r="K19" s="51">
        <f>H19*0.5</f>
        <v>0</v>
      </c>
      <c r="L19" s="24" t="s">
        <v>16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2.75">
      <c r="A20" s="42">
        <v>4607116120415</v>
      </c>
      <c r="B20" s="43" t="s">
        <v>41</v>
      </c>
      <c r="C20" s="44" t="s">
        <v>42</v>
      </c>
      <c r="D20" s="45" t="s">
        <v>27</v>
      </c>
      <c r="E20" s="45">
        <v>8</v>
      </c>
      <c r="F20" s="46">
        <v>0</v>
      </c>
      <c r="G20" s="47">
        <f>F20-F20*$I$1/100</f>
        <v>0</v>
      </c>
      <c r="H20" s="48"/>
      <c r="I20" s="49">
        <f>G20*H20</f>
        <v>0</v>
      </c>
      <c r="J20" s="50">
        <f>H20*1.175</f>
        <v>0</v>
      </c>
      <c r="K20" s="51">
        <f>H20*1</f>
        <v>0</v>
      </c>
      <c r="L20" s="24" t="s">
        <v>16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2.75">
      <c r="A21" s="42">
        <v>4607116120422</v>
      </c>
      <c r="B21" s="43" t="s">
        <v>43</v>
      </c>
      <c r="C21" s="44" t="s">
        <v>44</v>
      </c>
      <c r="D21" s="45" t="s">
        <v>37</v>
      </c>
      <c r="E21" s="45">
        <v>4</v>
      </c>
      <c r="F21" s="46">
        <v>0</v>
      </c>
      <c r="G21" s="47">
        <f>F21-F21*$I$1/100</f>
        <v>0</v>
      </c>
      <c r="H21" s="48"/>
      <c r="I21" s="49">
        <f>G21*H21</f>
        <v>0</v>
      </c>
      <c r="J21" s="50">
        <f>H21*2.25</f>
        <v>0</v>
      </c>
      <c r="K21" s="51">
        <f>H21*2</f>
        <v>0</v>
      </c>
      <c r="L21" s="24" t="s">
        <v>16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6" customFormat="1" ht="12.75">
      <c r="A22" s="42">
        <v>4607116121993</v>
      </c>
      <c r="B22" s="43" t="s">
        <v>45</v>
      </c>
      <c r="C22" s="44" t="s">
        <v>46</v>
      </c>
      <c r="D22" s="45" t="s">
        <v>40</v>
      </c>
      <c r="E22" s="45">
        <v>8</v>
      </c>
      <c r="F22" s="46">
        <v>0</v>
      </c>
      <c r="G22" s="47">
        <f>F22-F22*$I$1/100</f>
        <v>0</v>
      </c>
      <c r="H22" s="48"/>
      <c r="I22" s="49">
        <f t="shared" si="0"/>
        <v>0</v>
      </c>
      <c r="J22" s="50">
        <f>H22*0.59</f>
        <v>0</v>
      </c>
      <c r="K22" s="51">
        <f>H22*0.5</f>
        <v>0</v>
      </c>
      <c r="L22" s="24" t="s">
        <v>16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6" customFormat="1" ht="12.75">
      <c r="A23" s="42">
        <v>4607116123355</v>
      </c>
      <c r="B23" s="43" t="s">
        <v>47</v>
      </c>
      <c r="C23" s="44" t="s">
        <v>48</v>
      </c>
      <c r="D23" s="45" t="s">
        <v>19</v>
      </c>
      <c r="E23" s="45">
        <v>8</v>
      </c>
      <c r="F23" s="46">
        <v>0</v>
      </c>
      <c r="G23" s="47">
        <f>F23-F23*$I$1/100</f>
        <v>0</v>
      </c>
      <c r="H23" s="48"/>
      <c r="I23" s="49">
        <f t="shared" si="0"/>
        <v>0</v>
      </c>
      <c r="J23" s="50">
        <f>H23*1.175</f>
        <v>0</v>
      </c>
      <c r="K23" s="51">
        <f>H23*1</f>
        <v>0</v>
      </c>
      <c r="L23" s="24" t="s">
        <v>16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6" customFormat="1" ht="12.75">
      <c r="A24" s="42">
        <v>4607116121344</v>
      </c>
      <c r="B24" s="43" t="s">
        <v>49</v>
      </c>
      <c r="C24" s="44" t="s">
        <v>50</v>
      </c>
      <c r="D24" s="45" t="s">
        <v>22</v>
      </c>
      <c r="E24" s="45">
        <v>4</v>
      </c>
      <c r="F24" s="46">
        <v>0</v>
      </c>
      <c r="G24" s="47">
        <f>F24-F24*$I$1/100</f>
        <v>0</v>
      </c>
      <c r="H24" s="48"/>
      <c r="I24" s="49">
        <f t="shared" si="0"/>
        <v>0</v>
      </c>
      <c r="J24" s="50">
        <f>H24*2.25</f>
        <v>0</v>
      </c>
      <c r="K24" s="51">
        <f>H24*2</f>
        <v>0</v>
      </c>
      <c r="L24" s="24" t="s">
        <v>16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2.75">
      <c r="A25" s="42">
        <v>4607116120699</v>
      </c>
      <c r="B25" s="43" t="s">
        <v>51</v>
      </c>
      <c r="C25" s="44" t="s">
        <v>52</v>
      </c>
      <c r="D25" s="45" t="s">
        <v>53</v>
      </c>
      <c r="E25" s="45">
        <v>6</v>
      </c>
      <c r="F25" s="46">
        <v>0</v>
      </c>
      <c r="G25" s="47">
        <f>F25-F25*$I$1/100</f>
        <v>0</v>
      </c>
      <c r="H25" s="48"/>
      <c r="I25" s="49">
        <f>G25*H25</f>
        <v>0</v>
      </c>
      <c r="J25" s="50">
        <f>H25*1.3483</f>
        <v>0</v>
      </c>
      <c r="K25" s="51">
        <f>H25*0.8</f>
        <v>0</v>
      </c>
      <c r="L25" s="24" t="s">
        <v>16</v>
      </c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2.75">
      <c r="A26" s="32" t="s">
        <v>54</v>
      </c>
      <c r="B26" s="32"/>
      <c r="C26" s="32"/>
      <c r="D26" s="32"/>
      <c r="E26" s="32"/>
      <c r="F26" s="32"/>
      <c r="G26" s="32"/>
      <c r="H26" s="32"/>
      <c r="I26" s="61"/>
      <c r="J26" s="40"/>
      <c r="K26" s="41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3" s="9" customFormat="1" ht="12.75">
      <c r="A27" s="62">
        <v>4607116120286</v>
      </c>
      <c r="B27" s="63" t="s">
        <v>55</v>
      </c>
      <c r="C27" s="64" t="s">
        <v>56</v>
      </c>
      <c r="D27" s="65" t="s">
        <v>57</v>
      </c>
      <c r="E27" s="65">
        <v>6</v>
      </c>
      <c r="F27" s="66">
        <v>8.07</v>
      </c>
      <c r="G27" s="67">
        <f>F27-F27*$I$1/100</f>
        <v>8.07</v>
      </c>
      <c r="H27" s="68"/>
      <c r="I27" s="69">
        <f aca="true" t="shared" si="1" ref="I27:I38">G27*H27</f>
        <v>0</v>
      </c>
      <c r="J27" s="50">
        <f>H27*1.35</f>
        <v>0</v>
      </c>
      <c r="K27" s="51">
        <f>H27*0.8</f>
        <v>0</v>
      </c>
      <c r="L27" s="24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9" customFormat="1" ht="12.75">
      <c r="A28" s="62">
        <v>4607116127209</v>
      </c>
      <c r="B28" s="63" t="s">
        <v>58</v>
      </c>
      <c r="C28" s="64" t="s">
        <v>59</v>
      </c>
      <c r="D28" s="70" t="s">
        <v>60</v>
      </c>
      <c r="E28" s="65">
        <v>2</v>
      </c>
      <c r="F28" s="66">
        <v>38.69</v>
      </c>
      <c r="G28" s="67">
        <f>F28-F28*$I$1/100</f>
        <v>38.69</v>
      </c>
      <c r="H28" s="68"/>
      <c r="I28" s="69">
        <f t="shared" si="1"/>
        <v>0</v>
      </c>
      <c r="J28" s="50">
        <f>6.28*H28</f>
        <v>0</v>
      </c>
      <c r="K28" s="51">
        <f>4*H28</f>
        <v>0</v>
      </c>
      <c r="L28" s="24"/>
      <c r="M28" s="7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9" customFormat="1" ht="12.75">
      <c r="A29" s="62">
        <v>4607116126271</v>
      </c>
      <c r="B29" s="63" t="s">
        <v>61</v>
      </c>
      <c r="C29" s="64" t="s">
        <v>62</v>
      </c>
      <c r="D29" s="65" t="s">
        <v>63</v>
      </c>
      <c r="E29" s="65">
        <v>12</v>
      </c>
      <c r="F29" s="66">
        <v>3.11</v>
      </c>
      <c r="G29" s="67">
        <f>F29-F29*$I$1/100</f>
        <v>3.11</v>
      </c>
      <c r="H29" s="68"/>
      <c r="I29" s="69">
        <f t="shared" si="1"/>
        <v>0</v>
      </c>
      <c r="J29" s="50">
        <f>0.384*H29</f>
        <v>0</v>
      </c>
      <c r="K29" s="51">
        <f>0.4*H29</f>
        <v>0</v>
      </c>
      <c r="L29" s="24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9" customFormat="1" ht="18" customHeight="1">
      <c r="A30" s="62">
        <v>4607116120200</v>
      </c>
      <c r="B30" s="63" t="s">
        <v>64</v>
      </c>
      <c r="C30" s="64" t="s">
        <v>65</v>
      </c>
      <c r="D30" s="65" t="s">
        <v>57</v>
      </c>
      <c r="E30" s="65">
        <v>6</v>
      </c>
      <c r="F30" s="66">
        <v>5.61</v>
      </c>
      <c r="G30" s="67">
        <f>F30-F30*$I$1/100</f>
        <v>5.61</v>
      </c>
      <c r="H30" s="68"/>
      <c r="I30" s="69">
        <f t="shared" si="1"/>
        <v>0</v>
      </c>
      <c r="J30" s="50">
        <f>H30*0.87</f>
        <v>0</v>
      </c>
      <c r="K30" s="51">
        <f>H30*0.8</f>
        <v>0</v>
      </c>
      <c r="L30" s="24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9" customFormat="1" ht="12.75">
      <c r="A31" s="62">
        <v>4607116120675</v>
      </c>
      <c r="B31" s="63" t="s">
        <v>66</v>
      </c>
      <c r="C31" s="64" t="s">
        <v>67</v>
      </c>
      <c r="D31" s="65" t="s">
        <v>53</v>
      </c>
      <c r="E31" s="65">
        <v>6</v>
      </c>
      <c r="F31" s="66">
        <v>7.13</v>
      </c>
      <c r="G31" s="67">
        <f>F31-F31*$I$1/100</f>
        <v>7.13</v>
      </c>
      <c r="H31" s="68"/>
      <c r="I31" s="69">
        <f t="shared" si="1"/>
        <v>0</v>
      </c>
      <c r="J31" s="50">
        <f>H31*0.9483</f>
        <v>0</v>
      </c>
      <c r="K31" s="51">
        <f>H31*0.8</f>
        <v>0</v>
      </c>
      <c r="L31" s="24"/>
      <c r="M31" s="7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12.75">
      <c r="A32" s="62">
        <v>4607116124901</v>
      </c>
      <c r="B32" s="63" t="s">
        <v>68</v>
      </c>
      <c r="C32" s="71" t="s">
        <v>69</v>
      </c>
      <c r="D32" s="65" t="s">
        <v>63</v>
      </c>
      <c r="E32" s="65">
        <v>12</v>
      </c>
      <c r="F32" s="66">
        <v>3.47</v>
      </c>
      <c r="G32" s="72">
        <f>F32-F32*$I$1/100</f>
        <v>3.47</v>
      </c>
      <c r="H32" s="68"/>
      <c r="I32" s="69">
        <f t="shared" si="1"/>
        <v>0</v>
      </c>
      <c r="J32" s="50">
        <f>H32*0.38417</f>
        <v>0</v>
      </c>
      <c r="K32" s="51">
        <f>H32*0.52</f>
        <v>0</v>
      </c>
      <c r="L32" s="2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2.75">
      <c r="A33" s="62">
        <v>4607116120194</v>
      </c>
      <c r="B33" s="63" t="s">
        <v>70</v>
      </c>
      <c r="C33" s="64" t="s">
        <v>71</v>
      </c>
      <c r="D33" s="65" t="s">
        <v>19</v>
      </c>
      <c r="E33" s="65">
        <v>6</v>
      </c>
      <c r="F33" s="66">
        <v>4.19</v>
      </c>
      <c r="G33" s="67">
        <f>F33-F33*$I$1/100</f>
        <v>4.19</v>
      </c>
      <c r="H33" s="68"/>
      <c r="I33" s="69">
        <f t="shared" si="1"/>
        <v>0</v>
      </c>
      <c r="J33" s="50">
        <f>H33*1.1483</f>
        <v>0</v>
      </c>
      <c r="K33" s="51">
        <f>H33*1</f>
        <v>0</v>
      </c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s="9" customFormat="1" ht="13.5">
      <c r="A34" s="62">
        <v>4607116123287</v>
      </c>
      <c r="B34" s="63" t="s">
        <v>72</v>
      </c>
      <c r="C34" s="64" t="s">
        <v>73</v>
      </c>
      <c r="D34" s="65" t="s">
        <v>74</v>
      </c>
      <c r="E34" s="65">
        <v>6</v>
      </c>
      <c r="F34" s="66">
        <v>10.46</v>
      </c>
      <c r="G34" s="67">
        <f>F34-F34*$I$1/100</f>
        <v>10.46</v>
      </c>
      <c r="H34" s="68"/>
      <c r="I34" s="69">
        <f t="shared" si="1"/>
        <v>0</v>
      </c>
      <c r="J34" s="50">
        <f>H34*0.7</f>
        <v>0</v>
      </c>
      <c r="K34" s="51">
        <f>H34*0.5</f>
        <v>0</v>
      </c>
      <c r="L34" s="24"/>
      <c r="M34" s="7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9" customFormat="1" ht="12.75">
      <c r="A35" s="62">
        <v>4607116124734</v>
      </c>
      <c r="B35" s="63" t="s">
        <v>75</v>
      </c>
      <c r="C35" s="64" t="s">
        <v>76</v>
      </c>
      <c r="D35" s="65" t="s">
        <v>74</v>
      </c>
      <c r="E35" s="65">
        <v>6</v>
      </c>
      <c r="F35" s="66">
        <v>4.09</v>
      </c>
      <c r="G35" s="74">
        <f>F35-F35*$I$1/100</f>
        <v>4.09</v>
      </c>
      <c r="H35" s="68"/>
      <c r="I35" s="69">
        <f t="shared" si="1"/>
        <v>0</v>
      </c>
      <c r="J35" s="50">
        <f>H35*0.5683</f>
        <v>0</v>
      </c>
      <c r="K35" s="51">
        <f>H35*0.5</f>
        <v>0</v>
      </c>
      <c r="L35" s="24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9" customFormat="1" ht="12.75">
      <c r="A36" s="62">
        <v>4607116124741</v>
      </c>
      <c r="B36" s="63" t="s">
        <v>75</v>
      </c>
      <c r="C36" s="64" t="s">
        <v>77</v>
      </c>
      <c r="D36" s="65" t="s">
        <v>74</v>
      </c>
      <c r="E36" s="65">
        <v>6</v>
      </c>
      <c r="F36" s="66">
        <v>4.09</v>
      </c>
      <c r="G36" s="74">
        <f>F36-F36*$I$1/100</f>
        <v>4.09</v>
      </c>
      <c r="H36" s="68"/>
      <c r="I36" s="69">
        <f t="shared" si="1"/>
        <v>0</v>
      </c>
      <c r="J36" s="50">
        <f>H36*0.5683</f>
        <v>0</v>
      </c>
      <c r="K36" s="51">
        <f>H36*0.5</f>
        <v>0</v>
      </c>
      <c r="L36" s="24"/>
      <c r="M36" s="7"/>
      <c r="N36" s="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9" customFormat="1" ht="12.75">
      <c r="A37" s="62">
        <v>4607116121627</v>
      </c>
      <c r="B37" s="63" t="s">
        <v>78</v>
      </c>
      <c r="C37" s="64" t="s">
        <v>79</v>
      </c>
      <c r="D37" s="65" t="s">
        <v>63</v>
      </c>
      <c r="E37" s="65">
        <v>12</v>
      </c>
      <c r="F37" s="66">
        <v>3.11</v>
      </c>
      <c r="G37" s="72">
        <f>F37-F37*$I$1/100</f>
        <v>3.11</v>
      </c>
      <c r="H37" s="68"/>
      <c r="I37" s="69">
        <f>G37*H37</f>
        <v>0</v>
      </c>
      <c r="J37" s="50">
        <f>H37*0.38417</f>
        <v>0</v>
      </c>
      <c r="K37" s="51">
        <f>H37*0.52</f>
        <v>0</v>
      </c>
      <c r="L37" s="24"/>
      <c r="M37" s="1"/>
      <c r="N37" s="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9" customFormat="1" ht="12.75">
      <c r="A38" s="62">
        <v>4607116120934</v>
      </c>
      <c r="B38" s="63" t="s">
        <v>80</v>
      </c>
      <c r="C38" s="64" t="s">
        <v>81</v>
      </c>
      <c r="D38" s="65" t="s">
        <v>63</v>
      </c>
      <c r="E38" s="65">
        <v>12</v>
      </c>
      <c r="F38" s="66">
        <v>3.11</v>
      </c>
      <c r="G38" s="72">
        <f>F38-F38*$I$1/100</f>
        <v>3.11</v>
      </c>
      <c r="H38" s="68"/>
      <c r="I38" s="69">
        <f t="shared" si="1"/>
        <v>0</v>
      </c>
      <c r="J38" s="50">
        <f>H38*0.38417</f>
        <v>0</v>
      </c>
      <c r="K38" s="51">
        <f>H38*0.52</f>
        <v>0</v>
      </c>
      <c r="L38" s="24"/>
      <c r="M38" s="1"/>
      <c r="N38" s="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9" customFormat="1" ht="12.75">
      <c r="A39" s="62">
        <v>4607116120866</v>
      </c>
      <c r="B39" s="63" t="s">
        <v>82</v>
      </c>
      <c r="C39" s="64" t="s">
        <v>83</v>
      </c>
      <c r="D39" s="65" t="s">
        <v>57</v>
      </c>
      <c r="E39" s="65">
        <v>6</v>
      </c>
      <c r="F39" s="66">
        <v>14.81</v>
      </c>
      <c r="G39" s="74">
        <f>F39-F39*$I$1/100</f>
        <v>14.81</v>
      </c>
      <c r="H39" s="68"/>
      <c r="I39" s="69">
        <f>G39*H39</f>
        <v>0</v>
      </c>
      <c r="J39" s="50">
        <f>H39*1.03</f>
        <v>0</v>
      </c>
      <c r="K39" s="51">
        <f>H39*0.8</f>
        <v>0</v>
      </c>
      <c r="L39" s="24"/>
      <c r="M39" s="75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2.75">
      <c r="A40" s="32" t="s">
        <v>84</v>
      </c>
      <c r="B40" s="32"/>
      <c r="C40" s="32"/>
      <c r="D40" s="32"/>
      <c r="E40" s="32"/>
      <c r="F40" s="32"/>
      <c r="G40" s="32"/>
      <c r="H40" s="32"/>
      <c r="I40" s="61"/>
      <c r="J40" s="40"/>
      <c r="K40" s="41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s="9" customFormat="1" ht="12.75">
      <c r="A41" s="62" t="s">
        <v>85</v>
      </c>
      <c r="B41" s="10"/>
      <c r="C41" s="64" t="s">
        <v>86</v>
      </c>
      <c r="D41" s="65" t="s">
        <v>87</v>
      </c>
      <c r="E41" s="65">
        <v>6</v>
      </c>
      <c r="F41" s="66">
        <v>10.67</v>
      </c>
      <c r="G41" s="67">
        <f>F41-F41*$I$1/100</f>
        <v>10.67</v>
      </c>
      <c r="H41" s="68"/>
      <c r="I41" s="69">
        <f>G41*H41</f>
        <v>0</v>
      </c>
      <c r="J41" s="50">
        <f>H41*1.6733</f>
        <v>0</v>
      </c>
      <c r="K41" s="51">
        <f>H41*1</f>
        <v>0</v>
      </c>
      <c r="L41" s="24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9" customFormat="1" ht="12.75">
      <c r="A42" s="76" t="s">
        <v>88</v>
      </c>
      <c r="B42" s="10"/>
      <c r="C42" s="64" t="s">
        <v>89</v>
      </c>
      <c r="D42" s="70" t="s">
        <v>90</v>
      </c>
      <c r="E42" s="65">
        <v>6</v>
      </c>
      <c r="F42" s="66">
        <v>51.2</v>
      </c>
      <c r="G42" s="67">
        <f>F42-F42*$I$1/100</f>
        <v>51.2</v>
      </c>
      <c r="H42" s="68"/>
      <c r="I42" s="69">
        <f>G42*H42</f>
        <v>0</v>
      </c>
      <c r="J42" s="50">
        <f>7.33*H42</f>
        <v>0</v>
      </c>
      <c r="K42" s="51">
        <f>5*H42</f>
        <v>0</v>
      </c>
      <c r="L42" s="24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9" customFormat="1" ht="18" customHeight="1">
      <c r="A43" s="62" t="s">
        <v>91</v>
      </c>
      <c r="B43" s="10"/>
      <c r="C43" s="64" t="s">
        <v>92</v>
      </c>
      <c r="D43" s="65" t="s">
        <v>93</v>
      </c>
      <c r="E43" s="65">
        <v>6</v>
      </c>
      <c r="F43" s="66">
        <v>8.84</v>
      </c>
      <c r="G43" s="67">
        <f>F43-F43*$I$1/100</f>
        <v>8.84</v>
      </c>
      <c r="H43" s="68"/>
      <c r="I43" s="69">
        <f>G43*H43</f>
        <v>0</v>
      </c>
      <c r="J43" s="50">
        <f>H43*1.627</f>
        <v>0</v>
      </c>
      <c r="K43" s="51">
        <f>H43*1.6</f>
        <v>0</v>
      </c>
      <c r="L43" s="24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9" customFormat="1" ht="12.75">
      <c r="A44" s="62" t="s">
        <v>94</v>
      </c>
      <c r="B44" s="10"/>
      <c r="C44" s="64" t="s">
        <v>95</v>
      </c>
      <c r="D44" s="65" t="s">
        <v>96</v>
      </c>
      <c r="E44" s="65">
        <v>6</v>
      </c>
      <c r="F44" s="66">
        <v>18.02</v>
      </c>
      <c r="G44" s="74">
        <f>F44-F44*$I$1/100</f>
        <v>18.02</v>
      </c>
      <c r="H44" s="68"/>
      <c r="I44" s="69">
        <f>G44*H44</f>
        <v>0</v>
      </c>
      <c r="J44" s="50">
        <f>H44*1.2408</f>
        <v>0</v>
      </c>
      <c r="K44" s="51">
        <f>H44*0.96</f>
        <v>0</v>
      </c>
      <c r="L44" s="24"/>
      <c r="M44" s="75"/>
      <c r="N44" s="7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2.75">
      <c r="A45" s="32" t="s">
        <v>97</v>
      </c>
      <c r="B45" s="32"/>
      <c r="C45" s="32"/>
      <c r="D45" s="32"/>
      <c r="E45" s="32"/>
      <c r="F45" s="32"/>
      <c r="G45" s="32"/>
      <c r="H45" s="32"/>
      <c r="I45" s="61"/>
      <c r="J45" s="40"/>
      <c r="K45" s="41"/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ht="12.75">
      <c r="A46" s="62">
        <v>4607116123836</v>
      </c>
      <c r="B46" s="63" t="s">
        <v>98</v>
      </c>
      <c r="C46" s="64" t="s">
        <v>99</v>
      </c>
      <c r="D46" s="65" t="s">
        <v>100</v>
      </c>
      <c r="E46" s="65">
        <v>6</v>
      </c>
      <c r="F46" s="66">
        <v>3.98</v>
      </c>
      <c r="G46" s="67">
        <f>F46-F46*$I$1/100</f>
        <v>3.98</v>
      </c>
      <c r="H46" s="77"/>
      <c r="I46" s="69">
        <f aca="true" t="shared" si="2" ref="I46:I78">G46*H46</f>
        <v>0</v>
      </c>
      <c r="J46" s="50">
        <f>H46*0.98</f>
        <v>0</v>
      </c>
      <c r="K46" s="51">
        <f>H46*0.5</f>
        <v>0</v>
      </c>
      <c r="L46" s="24"/>
      <c r="M46" s="75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62">
        <v>4607116120545</v>
      </c>
      <c r="B47" s="63" t="s">
        <v>98</v>
      </c>
      <c r="C47" s="64" t="s">
        <v>101</v>
      </c>
      <c r="D47" s="65" t="s">
        <v>100</v>
      </c>
      <c r="E47" s="65">
        <v>6</v>
      </c>
      <c r="F47" s="66">
        <v>3.98</v>
      </c>
      <c r="G47" s="67">
        <f>F47-F47*$I$1/100</f>
        <v>3.98</v>
      </c>
      <c r="H47" s="77"/>
      <c r="I47" s="69">
        <f t="shared" si="2"/>
        <v>0</v>
      </c>
      <c r="J47" s="50">
        <f>H47*0.98</f>
        <v>0</v>
      </c>
      <c r="K47" s="51">
        <f>H47*0.5</f>
        <v>0</v>
      </c>
      <c r="L47" s="24"/>
      <c r="M47" s="7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62">
        <v>4607116123843</v>
      </c>
      <c r="B48" s="63" t="s">
        <v>98</v>
      </c>
      <c r="C48" s="64" t="s">
        <v>102</v>
      </c>
      <c r="D48" s="65" t="s">
        <v>100</v>
      </c>
      <c r="E48" s="65">
        <v>6</v>
      </c>
      <c r="F48" s="66">
        <v>3.98</v>
      </c>
      <c r="G48" s="67">
        <f>F48-F48*$I$1/100</f>
        <v>3.98</v>
      </c>
      <c r="H48" s="77"/>
      <c r="I48" s="69">
        <f t="shared" si="2"/>
        <v>0</v>
      </c>
      <c r="J48" s="50">
        <f>H48*0.98</f>
        <v>0</v>
      </c>
      <c r="K48" s="51">
        <f>H48*0.5</f>
        <v>0</v>
      </c>
      <c r="L48" s="24"/>
      <c r="M48" s="7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s="6" customFormat="1" ht="13.5">
      <c r="A49" s="62">
        <v>4607116123744</v>
      </c>
      <c r="B49" s="63" t="s">
        <v>103</v>
      </c>
      <c r="C49" s="64" t="s">
        <v>104</v>
      </c>
      <c r="D49" s="65" t="s">
        <v>105</v>
      </c>
      <c r="E49" s="65">
        <v>6</v>
      </c>
      <c r="F49" s="66">
        <v>6.9</v>
      </c>
      <c r="G49" s="67">
        <f>F49-F49*$I$1/100</f>
        <v>6.9</v>
      </c>
      <c r="H49" s="77"/>
      <c r="I49" s="69">
        <f t="shared" si="2"/>
        <v>0</v>
      </c>
      <c r="J49" s="50">
        <f>H49*1.86</f>
        <v>0</v>
      </c>
      <c r="K49" s="51">
        <f>H49*1</f>
        <v>0</v>
      </c>
      <c r="L49" s="24"/>
      <c r="M49" s="7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s="6" customFormat="1" ht="13.5">
      <c r="A50" s="62">
        <v>4607116120248</v>
      </c>
      <c r="B50" s="63" t="s">
        <v>103</v>
      </c>
      <c r="C50" s="64" t="s">
        <v>106</v>
      </c>
      <c r="D50" s="65" t="s">
        <v>107</v>
      </c>
      <c r="E50" s="65">
        <v>6</v>
      </c>
      <c r="F50" s="66">
        <v>6.9</v>
      </c>
      <c r="G50" s="67">
        <f>F50-F50*$I$1/100</f>
        <v>6.9</v>
      </c>
      <c r="H50" s="77"/>
      <c r="I50" s="69">
        <f t="shared" si="2"/>
        <v>0</v>
      </c>
      <c r="J50" s="50">
        <f>H50*1.86</f>
        <v>0</v>
      </c>
      <c r="K50" s="51">
        <f>H50*1</f>
        <v>0</v>
      </c>
      <c r="L50" s="24"/>
      <c r="M50" s="7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3.5">
      <c r="A51" s="62">
        <v>4607116123751</v>
      </c>
      <c r="B51" s="63" t="s">
        <v>103</v>
      </c>
      <c r="C51" s="64" t="s">
        <v>108</v>
      </c>
      <c r="D51" s="65" t="s">
        <v>105</v>
      </c>
      <c r="E51" s="65">
        <v>6</v>
      </c>
      <c r="F51" s="66">
        <v>6.9</v>
      </c>
      <c r="G51" s="67">
        <f>F51-F51*$I$1/100</f>
        <v>6.9</v>
      </c>
      <c r="H51" s="77"/>
      <c r="I51" s="69">
        <f t="shared" si="2"/>
        <v>0</v>
      </c>
      <c r="J51" s="50">
        <f>H51*1.86</f>
        <v>0</v>
      </c>
      <c r="K51" s="51">
        <f>H51*1</f>
        <v>0</v>
      </c>
      <c r="L51" s="24"/>
      <c r="M51" s="7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3.5">
      <c r="A52" s="62">
        <v>4607116123713</v>
      </c>
      <c r="B52" s="63" t="s">
        <v>109</v>
      </c>
      <c r="C52" s="64" t="s">
        <v>110</v>
      </c>
      <c r="D52" s="65" t="s">
        <v>57</v>
      </c>
      <c r="E52" s="65">
        <v>6</v>
      </c>
      <c r="F52" s="66">
        <v>5.41</v>
      </c>
      <c r="G52" s="67">
        <f>F52-F52*$I$1/100</f>
        <v>5.41</v>
      </c>
      <c r="H52" s="77"/>
      <c r="I52" s="69">
        <f t="shared" si="2"/>
        <v>0</v>
      </c>
      <c r="J52" s="50">
        <f>H52*1.5</f>
        <v>0</v>
      </c>
      <c r="K52" s="51">
        <f>H52*0.8</f>
        <v>0</v>
      </c>
      <c r="L52" s="24"/>
      <c r="M52" s="7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3.5">
      <c r="A53" s="62">
        <v>4607116123720</v>
      </c>
      <c r="B53" s="63" t="s">
        <v>109</v>
      </c>
      <c r="C53" s="64" t="s">
        <v>111</v>
      </c>
      <c r="D53" s="65" t="s">
        <v>57</v>
      </c>
      <c r="E53" s="65">
        <v>6</v>
      </c>
      <c r="F53" s="66">
        <v>5.41</v>
      </c>
      <c r="G53" s="67">
        <f>F53-F53*$I$1/100</f>
        <v>5.41</v>
      </c>
      <c r="H53" s="77"/>
      <c r="I53" s="69">
        <f t="shared" si="2"/>
        <v>0</v>
      </c>
      <c r="J53" s="50">
        <f>H53*1.5</f>
        <v>0</v>
      </c>
      <c r="K53" s="51">
        <f>H53*0.8</f>
        <v>0</v>
      </c>
      <c r="L53" s="24"/>
      <c r="M53" s="7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3.5">
      <c r="A54" s="62">
        <v>4607116120897</v>
      </c>
      <c r="B54" s="63" t="s">
        <v>109</v>
      </c>
      <c r="C54" s="64" t="s">
        <v>112</v>
      </c>
      <c r="D54" s="65" t="s">
        <v>57</v>
      </c>
      <c r="E54" s="65">
        <v>6</v>
      </c>
      <c r="F54" s="66">
        <v>5.41</v>
      </c>
      <c r="G54" s="67">
        <f>F54-F54*$I$1/100</f>
        <v>5.41</v>
      </c>
      <c r="H54" s="77"/>
      <c r="I54" s="69">
        <f t="shared" si="2"/>
        <v>0</v>
      </c>
      <c r="J54" s="50">
        <f>H54*1.5</f>
        <v>0</v>
      </c>
      <c r="K54" s="51">
        <f>H54*0.8</f>
        <v>0</v>
      </c>
      <c r="L54" s="24"/>
      <c r="M54" s="7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3.5">
      <c r="A55" s="62">
        <v>4607116123737</v>
      </c>
      <c r="B55" s="63" t="s">
        <v>109</v>
      </c>
      <c r="C55" s="64" t="s">
        <v>113</v>
      </c>
      <c r="D55" s="65" t="s">
        <v>53</v>
      </c>
      <c r="E55" s="65">
        <v>6</v>
      </c>
      <c r="F55" s="66">
        <v>5.41</v>
      </c>
      <c r="G55" s="67">
        <f>F55-F55*$I$1/100</f>
        <v>5.41</v>
      </c>
      <c r="H55" s="77"/>
      <c r="I55" s="69">
        <f t="shared" si="2"/>
        <v>0</v>
      </c>
      <c r="J55" s="50">
        <f>H55*1.5</f>
        <v>0</v>
      </c>
      <c r="K55" s="51">
        <f>H55*0.8</f>
        <v>0</v>
      </c>
      <c r="L55" s="24"/>
      <c r="M55" s="80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3.5">
      <c r="A56" s="62">
        <v>4607116125748</v>
      </c>
      <c r="B56" s="81" t="s">
        <v>114</v>
      </c>
      <c r="C56" s="64" t="s">
        <v>115</v>
      </c>
      <c r="D56" s="70" t="s">
        <v>60</v>
      </c>
      <c r="E56" s="65">
        <v>2</v>
      </c>
      <c r="F56" s="66">
        <v>25.92</v>
      </c>
      <c r="G56" s="67">
        <f>F56-F56*$I$1/100</f>
        <v>25.92</v>
      </c>
      <c r="H56" s="77"/>
      <c r="I56" s="69">
        <f t="shared" si="2"/>
        <v>0</v>
      </c>
      <c r="J56" s="50">
        <f>H56*7.085</f>
        <v>0</v>
      </c>
      <c r="K56" s="51">
        <f>H56*4</f>
        <v>0</v>
      </c>
      <c r="L56" s="24"/>
      <c r="M56" s="80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s="13" customFormat="1" ht="13.5">
      <c r="A57" s="82">
        <v>4607116123409</v>
      </c>
      <c r="B57" s="81" t="s">
        <v>114</v>
      </c>
      <c r="C57" s="83" t="s">
        <v>116</v>
      </c>
      <c r="D57" s="70" t="s">
        <v>60</v>
      </c>
      <c r="E57" s="70">
        <v>2</v>
      </c>
      <c r="F57" s="84">
        <v>25.92</v>
      </c>
      <c r="G57" s="85">
        <f>F57-F57*$I$1/100</f>
        <v>25.92</v>
      </c>
      <c r="H57" s="77"/>
      <c r="I57" s="69">
        <f t="shared" si="2"/>
        <v>0</v>
      </c>
      <c r="J57" s="50">
        <f>H57*7.085</f>
        <v>0</v>
      </c>
      <c r="K57" s="51">
        <f>H57*4</f>
        <v>0</v>
      </c>
      <c r="L57" s="24"/>
      <c r="M57" s="86"/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>
      <c r="A58" s="76" t="s">
        <v>117</v>
      </c>
      <c r="B58" s="81" t="s">
        <v>114</v>
      </c>
      <c r="C58" s="64" t="s">
        <v>118</v>
      </c>
      <c r="D58" s="70" t="s">
        <v>60</v>
      </c>
      <c r="E58" s="65">
        <v>2</v>
      </c>
      <c r="F58" s="66">
        <v>25.92</v>
      </c>
      <c r="G58" s="67">
        <f>F58-F58*$I$1/100</f>
        <v>25.92</v>
      </c>
      <c r="H58" s="77"/>
      <c r="I58" s="69">
        <f t="shared" si="2"/>
        <v>0</v>
      </c>
      <c r="J58" s="50">
        <f>H58*7.085</f>
        <v>0</v>
      </c>
      <c r="K58" s="51">
        <f>H58*4</f>
        <v>0</v>
      </c>
      <c r="L58" s="24"/>
      <c r="M58" s="80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3.5">
      <c r="A59" s="62">
        <v>4607116123799</v>
      </c>
      <c r="B59" s="63" t="s">
        <v>119</v>
      </c>
      <c r="C59" s="64" t="s">
        <v>120</v>
      </c>
      <c r="D59" s="65" t="s">
        <v>57</v>
      </c>
      <c r="E59" s="65">
        <v>6</v>
      </c>
      <c r="F59" s="66">
        <v>6.36</v>
      </c>
      <c r="G59" s="67">
        <f>F59-F59*$I$1/100</f>
        <v>6.36</v>
      </c>
      <c r="H59" s="77"/>
      <c r="I59" s="69">
        <f t="shared" si="2"/>
        <v>0</v>
      </c>
      <c r="J59" s="50">
        <f aca="true" t="shared" si="3" ref="J59:J65">H59*1.5</f>
        <v>0</v>
      </c>
      <c r="K59" s="51">
        <f aca="true" t="shared" si="4" ref="K59:K65">H59*0.8</f>
        <v>0</v>
      </c>
      <c r="L59" s="24"/>
      <c r="M59" s="80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3.5">
      <c r="A60" s="62">
        <v>4607116120033</v>
      </c>
      <c r="B60" s="63" t="s">
        <v>119</v>
      </c>
      <c r="C60" s="64" t="s">
        <v>121</v>
      </c>
      <c r="D60" s="65" t="s">
        <v>57</v>
      </c>
      <c r="E60" s="65">
        <v>6</v>
      </c>
      <c r="F60" s="66">
        <v>6.36</v>
      </c>
      <c r="G60" s="67">
        <f>F60-F60*$I$1/100</f>
        <v>6.36</v>
      </c>
      <c r="H60" s="77"/>
      <c r="I60" s="69">
        <f t="shared" si="2"/>
        <v>0</v>
      </c>
      <c r="J60" s="50">
        <f t="shared" si="3"/>
        <v>0</v>
      </c>
      <c r="K60" s="51">
        <f t="shared" si="4"/>
        <v>0</v>
      </c>
      <c r="L60" s="24"/>
      <c r="M60" s="8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1" customHeight="1">
      <c r="A61" s="62">
        <v>4607116123812</v>
      </c>
      <c r="B61" s="63" t="s">
        <v>119</v>
      </c>
      <c r="C61" s="64" t="s">
        <v>122</v>
      </c>
      <c r="D61" s="65" t="s">
        <v>57</v>
      </c>
      <c r="E61" s="65">
        <v>6</v>
      </c>
      <c r="F61" s="66">
        <v>6.36</v>
      </c>
      <c r="G61" s="67">
        <f>F61-F61*$I$1/100</f>
        <v>6.36</v>
      </c>
      <c r="H61" s="77"/>
      <c r="I61" s="69">
        <f t="shared" si="2"/>
        <v>0</v>
      </c>
      <c r="J61" s="50">
        <f t="shared" si="3"/>
        <v>0</v>
      </c>
      <c r="K61" s="51">
        <f t="shared" si="4"/>
        <v>0</v>
      </c>
      <c r="L61" s="24"/>
      <c r="M61" s="80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3.5">
      <c r="A62" s="62">
        <v>4607116123768</v>
      </c>
      <c r="B62" s="63" t="s">
        <v>123</v>
      </c>
      <c r="C62" s="64" t="s">
        <v>124</v>
      </c>
      <c r="D62" s="65" t="s">
        <v>57</v>
      </c>
      <c r="E62" s="65">
        <v>6</v>
      </c>
      <c r="F62" s="66">
        <v>5.41</v>
      </c>
      <c r="G62" s="67">
        <f>F62-F62*$I$1/100</f>
        <v>5.41</v>
      </c>
      <c r="H62" s="77"/>
      <c r="I62" s="69">
        <f t="shared" si="2"/>
        <v>0</v>
      </c>
      <c r="J62" s="50">
        <f t="shared" si="3"/>
        <v>0</v>
      </c>
      <c r="K62" s="51">
        <f t="shared" si="4"/>
        <v>0</v>
      </c>
      <c r="L62" s="24"/>
      <c r="M62" s="80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3.5">
      <c r="A63" s="62">
        <v>4607116123775</v>
      </c>
      <c r="B63" s="63" t="s">
        <v>123</v>
      </c>
      <c r="C63" s="64" t="s">
        <v>125</v>
      </c>
      <c r="D63" s="65" t="s">
        <v>53</v>
      </c>
      <c r="E63" s="65">
        <v>6</v>
      </c>
      <c r="F63" s="66">
        <v>5.41</v>
      </c>
      <c r="G63" s="67">
        <f>F63-F63*$I$1/100</f>
        <v>5.41</v>
      </c>
      <c r="H63" s="77"/>
      <c r="I63" s="69">
        <f t="shared" si="2"/>
        <v>0</v>
      </c>
      <c r="J63" s="50">
        <f t="shared" si="3"/>
        <v>0</v>
      </c>
      <c r="K63" s="51">
        <f t="shared" si="4"/>
        <v>0</v>
      </c>
      <c r="L63" s="24"/>
      <c r="M63" s="80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3.5">
      <c r="A64" s="62">
        <v>4607116120262</v>
      </c>
      <c r="B64" s="63" t="s">
        <v>123</v>
      </c>
      <c r="C64" s="64" t="s">
        <v>126</v>
      </c>
      <c r="D64" s="65" t="s">
        <v>57</v>
      </c>
      <c r="E64" s="65">
        <v>6</v>
      </c>
      <c r="F64" s="66">
        <v>5.41</v>
      </c>
      <c r="G64" s="67">
        <f>F64-F64*$I$1/100</f>
        <v>5.41</v>
      </c>
      <c r="H64" s="77"/>
      <c r="I64" s="69">
        <f t="shared" si="2"/>
        <v>0</v>
      </c>
      <c r="J64" s="50">
        <f t="shared" si="3"/>
        <v>0</v>
      </c>
      <c r="K64" s="51">
        <f t="shared" si="4"/>
        <v>0</v>
      </c>
      <c r="L64" s="24"/>
      <c r="M64" s="80"/>
      <c r="N64" s="8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3.5">
      <c r="A65" s="62">
        <v>4607116123782</v>
      </c>
      <c r="B65" s="63" t="s">
        <v>123</v>
      </c>
      <c r="C65" s="64" t="s">
        <v>127</v>
      </c>
      <c r="D65" s="65" t="s">
        <v>57</v>
      </c>
      <c r="E65" s="65">
        <v>6</v>
      </c>
      <c r="F65" s="66">
        <v>5.41</v>
      </c>
      <c r="G65" s="67">
        <f>F65-F65*$I$1/100</f>
        <v>5.41</v>
      </c>
      <c r="H65" s="77"/>
      <c r="I65" s="69">
        <f t="shared" si="2"/>
        <v>0</v>
      </c>
      <c r="J65" s="50">
        <f t="shared" si="3"/>
        <v>0</v>
      </c>
      <c r="K65" s="51">
        <f t="shared" si="4"/>
        <v>0</v>
      </c>
      <c r="L65" s="24"/>
      <c r="M65" s="80"/>
      <c r="N65" s="8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8" customHeight="1">
      <c r="A66" s="76" t="s">
        <v>128</v>
      </c>
      <c r="B66" s="63" t="s">
        <v>129</v>
      </c>
      <c r="C66" s="64" t="s">
        <v>130</v>
      </c>
      <c r="D66" s="65" t="s">
        <v>131</v>
      </c>
      <c r="E66" s="65">
        <v>2</v>
      </c>
      <c r="F66" s="66">
        <v>15.7</v>
      </c>
      <c r="G66" s="67">
        <f>F66-F66*$I$1/100</f>
        <v>15.7</v>
      </c>
      <c r="H66" s="77"/>
      <c r="I66" s="69">
        <f t="shared" si="2"/>
        <v>0</v>
      </c>
      <c r="J66" s="50">
        <f>H66*4.525</f>
        <v>0</v>
      </c>
      <c r="K66" s="51">
        <f>H66*2.5</f>
        <v>0</v>
      </c>
      <c r="L66" s="24"/>
      <c r="M66" s="8"/>
      <c r="N66" s="8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8" customHeight="1">
      <c r="A67" s="62">
        <v>4607116121160</v>
      </c>
      <c r="B67" s="63" t="s">
        <v>129</v>
      </c>
      <c r="C67" s="64" t="s">
        <v>132</v>
      </c>
      <c r="D67" s="65" t="s">
        <v>131</v>
      </c>
      <c r="E67" s="65">
        <v>2</v>
      </c>
      <c r="F67" s="66">
        <v>15.7</v>
      </c>
      <c r="G67" s="67">
        <f>F67-F67*$I$1/100</f>
        <v>15.7</v>
      </c>
      <c r="H67" s="77"/>
      <c r="I67" s="69">
        <f t="shared" si="2"/>
        <v>0</v>
      </c>
      <c r="J67" s="50">
        <f>H67*4.525</f>
        <v>0</v>
      </c>
      <c r="K67" s="51">
        <f>H67*2.5</f>
        <v>0</v>
      </c>
      <c r="L67" s="24"/>
      <c r="M67" s="8"/>
      <c r="N67" s="8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8" customHeight="1">
      <c r="A68" s="76" t="s">
        <v>133</v>
      </c>
      <c r="B68" s="63" t="s">
        <v>129</v>
      </c>
      <c r="C68" s="64" t="s">
        <v>134</v>
      </c>
      <c r="D68" s="65" t="s">
        <v>131</v>
      </c>
      <c r="E68" s="65">
        <v>2</v>
      </c>
      <c r="F68" s="66">
        <v>15.7</v>
      </c>
      <c r="G68" s="67">
        <f>F68-F68*$I$1/100</f>
        <v>15.7</v>
      </c>
      <c r="H68" s="77"/>
      <c r="I68" s="69">
        <f t="shared" si="2"/>
        <v>0</v>
      </c>
      <c r="J68" s="50">
        <f>H68*4.525</f>
        <v>0</v>
      </c>
      <c r="K68" s="51">
        <f>H68*2.5</f>
        <v>0</v>
      </c>
      <c r="L68" s="24"/>
      <c r="M68" s="8"/>
      <c r="N68" s="8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s="9" customFormat="1" ht="12.75">
      <c r="A69" s="62">
        <v>4607116125694</v>
      </c>
      <c r="B69" s="63" t="s">
        <v>135</v>
      </c>
      <c r="C69" s="64" t="s">
        <v>136</v>
      </c>
      <c r="D69" s="65" t="s">
        <v>19</v>
      </c>
      <c r="E69" s="65">
        <v>6</v>
      </c>
      <c r="F69" s="66">
        <v>4.91</v>
      </c>
      <c r="G69" s="67">
        <f>F69-F69*$I$1/100</f>
        <v>4.91</v>
      </c>
      <c r="H69" s="77"/>
      <c r="I69" s="69">
        <f t="shared" si="2"/>
        <v>0</v>
      </c>
      <c r="J69" s="50">
        <f>H69*1.1483</f>
        <v>0</v>
      </c>
      <c r="K69" s="51">
        <f>H69*1</f>
        <v>0</v>
      </c>
      <c r="L69" s="24"/>
      <c r="M69" s="75"/>
      <c r="N69" s="7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s="9" customFormat="1" ht="12.75">
      <c r="A70" s="62">
        <v>4607116120064</v>
      </c>
      <c r="B70" s="63" t="s">
        <v>135</v>
      </c>
      <c r="C70" s="64" t="s">
        <v>137</v>
      </c>
      <c r="D70" s="65" t="s">
        <v>19</v>
      </c>
      <c r="E70" s="65">
        <v>6</v>
      </c>
      <c r="F70" s="66">
        <v>4.91</v>
      </c>
      <c r="G70" s="67">
        <f>F70-F70*$I$1/100</f>
        <v>4.91</v>
      </c>
      <c r="H70" s="77"/>
      <c r="I70" s="69">
        <f t="shared" si="2"/>
        <v>0</v>
      </c>
      <c r="J70" s="50">
        <f>H70*1.1483</f>
        <v>0</v>
      </c>
      <c r="K70" s="51">
        <f>H70*1</f>
        <v>0</v>
      </c>
      <c r="L70" s="24"/>
      <c r="M70" s="75"/>
      <c r="N70" s="7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s="9" customFormat="1" ht="12.75">
      <c r="A71" s="62">
        <v>4607116123829</v>
      </c>
      <c r="B71" s="63" t="s">
        <v>135</v>
      </c>
      <c r="C71" s="64" t="s">
        <v>138</v>
      </c>
      <c r="D71" s="65" t="s">
        <v>19</v>
      </c>
      <c r="E71" s="65">
        <v>6</v>
      </c>
      <c r="F71" s="66">
        <v>4.91</v>
      </c>
      <c r="G71" s="67">
        <f>F71-F71*$I$1/100</f>
        <v>4.91</v>
      </c>
      <c r="H71" s="77"/>
      <c r="I71" s="69">
        <f t="shared" si="2"/>
        <v>0</v>
      </c>
      <c r="J71" s="50">
        <f>H71*1.1483</f>
        <v>0</v>
      </c>
      <c r="K71" s="51">
        <f>H71*1</f>
        <v>0</v>
      </c>
      <c r="L71" s="24"/>
      <c r="M71" s="75"/>
      <c r="N71" s="7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s="9" customFormat="1" ht="12.75">
      <c r="A72" s="62">
        <v>4607116125762</v>
      </c>
      <c r="B72" s="63" t="s">
        <v>139</v>
      </c>
      <c r="C72" s="64" t="s">
        <v>140</v>
      </c>
      <c r="D72" s="65" t="s">
        <v>141</v>
      </c>
      <c r="E72" s="65">
        <v>2</v>
      </c>
      <c r="F72" s="66">
        <v>16.21</v>
      </c>
      <c r="G72" s="67">
        <f>F72-F72*$I$1/100</f>
        <v>16.21</v>
      </c>
      <c r="H72" s="77"/>
      <c r="I72" s="69">
        <f t="shared" si="2"/>
        <v>0</v>
      </c>
      <c r="J72" s="50">
        <f>H72*4.025</f>
        <v>0</v>
      </c>
      <c r="K72" s="51">
        <f>H72*3.7</f>
        <v>0</v>
      </c>
      <c r="L72" s="24"/>
      <c r="M72" s="75"/>
      <c r="N72" s="7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s="9" customFormat="1" ht="12.75">
      <c r="A73" s="62">
        <v>4607116123188</v>
      </c>
      <c r="B73" s="63" t="s">
        <v>139</v>
      </c>
      <c r="C73" s="64" t="s">
        <v>142</v>
      </c>
      <c r="D73" s="65" t="s">
        <v>141</v>
      </c>
      <c r="E73" s="65">
        <v>2</v>
      </c>
      <c r="F73" s="66">
        <v>16.21</v>
      </c>
      <c r="G73" s="67">
        <f>F73-F73*$I$1/100</f>
        <v>16.21</v>
      </c>
      <c r="H73" s="77"/>
      <c r="I73" s="69">
        <f t="shared" si="2"/>
        <v>0</v>
      </c>
      <c r="J73" s="50">
        <f>H73*4.025</f>
        <v>0</v>
      </c>
      <c r="K73" s="51">
        <f>H73*3.7</f>
        <v>0</v>
      </c>
      <c r="L73" s="24"/>
      <c r="M73" s="75"/>
      <c r="N73" s="7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2.75">
      <c r="A74" s="62">
        <v>4607116123850</v>
      </c>
      <c r="B74" s="63" t="s">
        <v>139</v>
      </c>
      <c r="C74" s="64" t="s">
        <v>143</v>
      </c>
      <c r="D74" s="65" t="s">
        <v>141</v>
      </c>
      <c r="E74" s="65">
        <v>2</v>
      </c>
      <c r="F74" s="66">
        <v>16.21</v>
      </c>
      <c r="G74" s="67">
        <f>F74-F74*$I$1/100</f>
        <v>16.21</v>
      </c>
      <c r="H74" s="77"/>
      <c r="I74" s="69">
        <f t="shared" si="2"/>
        <v>0</v>
      </c>
      <c r="J74" s="50">
        <f>H74*4.025</f>
        <v>0</v>
      </c>
      <c r="K74" s="51">
        <f>H74*3.7</f>
        <v>0</v>
      </c>
      <c r="L74" s="24"/>
      <c r="M74" s="7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s="9" customFormat="1" ht="12.75">
      <c r="A75" s="62">
        <v>4607116120927</v>
      </c>
      <c r="B75" s="63" t="s">
        <v>144</v>
      </c>
      <c r="C75" s="64" t="s">
        <v>145</v>
      </c>
      <c r="D75" s="65" t="s">
        <v>63</v>
      </c>
      <c r="E75" s="65">
        <v>12</v>
      </c>
      <c r="F75" s="66">
        <v>2.59</v>
      </c>
      <c r="G75" s="72">
        <f>F75-F75*$I$1/100</f>
        <v>2.59</v>
      </c>
      <c r="H75" s="77"/>
      <c r="I75" s="69">
        <f t="shared" si="2"/>
        <v>0</v>
      </c>
      <c r="J75" s="50">
        <f>H75*0.41417</f>
        <v>0</v>
      </c>
      <c r="K75" s="51">
        <f>H75*0.52</f>
        <v>0</v>
      </c>
      <c r="L75" s="24"/>
      <c r="M75" s="1"/>
      <c r="N75" s="1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s="9" customFormat="1" ht="12.75">
      <c r="A76" s="62">
        <v>4607116121221</v>
      </c>
      <c r="B76" s="63" t="s">
        <v>144</v>
      </c>
      <c r="C76" s="64" t="s">
        <v>146</v>
      </c>
      <c r="D76" s="65" t="s">
        <v>63</v>
      </c>
      <c r="E76" s="65">
        <v>12</v>
      </c>
      <c r="F76" s="66">
        <v>2.59</v>
      </c>
      <c r="G76" s="72">
        <f>F76-F76*$I$1/100</f>
        <v>2.59</v>
      </c>
      <c r="H76" s="77"/>
      <c r="I76" s="69">
        <f t="shared" si="2"/>
        <v>0</v>
      </c>
      <c r="J76" s="50">
        <f>H76*0.41417</f>
        <v>0</v>
      </c>
      <c r="K76" s="51">
        <f>H76*0.52</f>
        <v>0</v>
      </c>
      <c r="L76" s="24"/>
      <c r="M76" s="1"/>
      <c r="N76" s="1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12.75">
      <c r="A77" s="62">
        <v>4607116124864</v>
      </c>
      <c r="B77" s="63" t="s">
        <v>147</v>
      </c>
      <c r="C77" s="64" t="s">
        <v>148</v>
      </c>
      <c r="D77" s="65" t="s">
        <v>57</v>
      </c>
      <c r="E77" s="65">
        <v>6</v>
      </c>
      <c r="F77" s="66">
        <v>7.3</v>
      </c>
      <c r="G77" s="67">
        <f>F77-F77*$I$1/100</f>
        <v>7.3</v>
      </c>
      <c r="H77" s="77"/>
      <c r="I77" s="69">
        <f t="shared" si="2"/>
        <v>0</v>
      </c>
      <c r="J77" s="50">
        <f>H77*1.43</f>
        <v>0</v>
      </c>
      <c r="K77" s="51">
        <f>H77*0.8</f>
        <v>0</v>
      </c>
      <c r="L77" s="24"/>
      <c r="M77" s="7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2.75">
      <c r="A78" s="62">
        <v>4607116124857</v>
      </c>
      <c r="B78" s="63" t="s">
        <v>147</v>
      </c>
      <c r="C78" s="64" t="s">
        <v>149</v>
      </c>
      <c r="D78" s="65" t="s">
        <v>57</v>
      </c>
      <c r="E78" s="65">
        <v>6</v>
      </c>
      <c r="F78" s="66">
        <v>7.3</v>
      </c>
      <c r="G78" s="67">
        <f>F78-F78*$I$1/100</f>
        <v>7.3</v>
      </c>
      <c r="H78" s="77"/>
      <c r="I78" s="69">
        <f t="shared" si="2"/>
        <v>0</v>
      </c>
      <c r="J78" s="50">
        <f>H78*1.43</f>
        <v>0</v>
      </c>
      <c r="K78" s="51">
        <f>H78*0.8</f>
        <v>0</v>
      </c>
      <c r="L78" s="24"/>
      <c r="M78" s="7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2.75">
      <c r="A79" s="32" t="s">
        <v>150</v>
      </c>
      <c r="B79" s="32"/>
      <c r="C79" s="32"/>
      <c r="D79" s="32"/>
      <c r="E79" s="32"/>
      <c r="F79" s="32"/>
      <c r="G79" s="32"/>
      <c r="H79" s="32"/>
      <c r="I79" s="61"/>
      <c r="J79" s="40"/>
      <c r="K79" s="41"/>
      <c r="L79" s="24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3" ht="12.75">
      <c r="A80" s="62" t="s">
        <v>151</v>
      </c>
      <c r="B80" s="63"/>
      <c r="C80" s="64" t="s">
        <v>152</v>
      </c>
      <c r="D80" s="65" t="s">
        <v>153</v>
      </c>
      <c r="E80" s="65">
        <v>6</v>
      </c>
      <c r="F80" s="66">
        <v>6.26</v>
      </c>
      <c r="G80" s="67">
        <f>F80-F80*$I$1/100</f>
        <v>6.26</v>
      </c>
      <c r="H80" s="77"/>
      <c r="I80" s="69">
        <f aca="true" t="shared" si="5" ref="I80:I104">G80*H80</f>
        <v>0</v>
      </c>
      <c r="J80" s="50">
        <f>H80*1.1975</f>
        <v>0</v>
      </c>
      <c r="K80" s="51">
        <f>H80*0.667</f>
        <v>0</v>
      </c>
      <c r="L80" s="24"/>
      <c r="M80" s="7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3.5">
      <c r="A81" s="62" t="s">
        <v>154</v>
      </c>
      <c r="B81" s="63"/>
      <c r="C81" s="64" t="s">
        <v>155</v>
      </c>
      <c r="D81" s="65" t="s">
        <v>153</v>
      </c>
      <c r="E81" s="65">
        <v>6</v>
      </c>
      <c r="F81" s="66">
        <v>6.26</v>
      </c>
      <c r="G81" s="67">
        <f>F81-F81*$I$1/100</f>
        <v>6.26</v>
      </c>
      <c r="H81" s="77"/>
      <c r="I81" s="69">
        <f t="shared" si="5"/>
        <v>0</v>
      </c>
      <c r="J81" s="50">
        <f>H81*1.1975</f>
        <v>0</v>
      </c>
      <c r="K81" s="51">
        <f>H81*0.667</f>
        <v>0</v>
      </c>
      <c r="L81" s="24"/>
      <c r="M81" s="7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3.5">
      <c r="A82" s="62" t="s">
        <v>156</v>
      </c>
      <c r="B82" s="63"/>
      <c r="C82" s="64" t="s">
        <v>157</v>
      </c>
      <c r="D82" s="65" t="s">
        <v>153</v>
      </c>
      <c r="E82" s="65">
        <v>6</v>
      </c>
      <c r="F82" s="66">
        <v>6.26</v>
      </c>
      <c r="G82" s="67">
        <f>F82-F82*$I$1/100</f>
        <v>6.26</v>
      </c>
      <c r="H82" s="77"/>
      <c r="I82" s="69">
        <f t="shared" si="5"/>
        <v>0</v>
      </c>
      <c r="J82" s="50">
        <f>H82*1.1975</f>
        <v>0</v>
      </c>
      <c r="K82" s="51">
        <f>H82*0.667</f>
        <v>0</v>
      </c>
      <c r="L82" s="24"/>
      <c r="M82" s="79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s="6" customFormat="1" ht="13.5">
      <c r="A83" s="62" t="s">
        <v>158</v>
      </c>
      <c r="B83" s="63"/>
      <c r="C83" s="64" t="s">
        <v>159</v>
      </c>
      <c r="D83" s="65" t="s">
        <v>160</v>
      </c>
      <c r="E83" s="65">
        <v>6</v>
      </c>
      <c r="F83" s="66">
        <v>10.23</v>
      </c>
      <c r="G83" s="67">
        <f>F83-F83*$I$1/100</f>
        <v>10.23</v>
      </c>
      <c r="H83" s="77"/>
      <c r="I83" s="69">
        <f t="shared" si="5"/>
        <v>0</v>
      </c>
      <c r="J83" s="50">
        <f>H83*2.2791</f>
        <v>0</v>
      </c>
      <c r="K83" s="51">
        <f>H83*1.34</f>
        <v>0</v>
      </c>
      <c r="L83" s="24"/>
      <c r="M83" s="7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s="6" customFormat="1" ht="13.5">
      <c r="A84" s="62" t="s">
        <v>161</v>
      </c>
      <c r="B84" s="63"/>
      <c r="C84" s="64" t="s">
        <v>162</v>
      </c>
      <c r="D84" s="65" t="s">
        <v>160</v>
      </c>
      <c r="E84" s="65">
        <v>6</v>
      </c>
      <c r="F84" s="66">
        <v>10.23</v>
      </c>
      <c r="G84" s="67">
        <f>F84-F84*$I$1/100</f>
        <v>10.23</v>
      </c>
      <c r="H84" s="77"/>
      <c r="I84" s="69">
        <f t="shared" si="5"/>
        <v>0</v>
      </c>
      <c r="J84" s="50">
        <f>H84*2.2791</f>
        <v>0</v>
      </c>
      <c r="K84" s="51">
        <f>H84*1.34</f>
        <v>0</v>
      </c>
      <c r="L84" s="24"/>
      <c r="M84" s="7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3.5">
      <c r="A85" s="62" t="s">
        <v>163</v>
      </c>
      <c r="B85" s="63"/>
      <c r="C85" s="64" t="s">
        <v>164</v>
      </c>
      <c r="D85" s="65" t="s">
        <v>160</v>
      </c>
      <c r="E85" s="65">
        <v>6</v>
      </c>
      <c r="F85" s="66">
        <v>10.23</v>
      </c>
      <c r="G85" s="67">
        <f>F85-F85*$I$1/100</f>
        <v>10.23</v>
      </c>
      <c r="H85" s="77"/>
      <c r="I85" s="69">
        <f t="shared" si="5"/>
        <v>0</v>
      </c>
      <c r="J85" s="50">
        <f>H85*2.2791</f>
        <v>0</v>
      </c>
      <c r="K85" s="51">
        <f>H85*1.34</f>
        <v>0</v>
      </c>
      <c r="L85" s="24"/>
      <c r="M85" s="7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3.5">
      <c r="A86" s="62" t="s">
        <v>165</v>
      </c>
      <c r="B86" s="63"/>
      <c r="C86" s="64" t="s">
        <v>166</v>
      </c>
      <c r="D86" s="65" t="s">
        <v>87</v>
      </c>
      <c r="E86" s="65">
        <v>6</v>
      </c>
      <c r="F86" s="66">
        <v>7.8</v>
      </c>
      <c r="G86" s="67">
        <f>F86-F86*$I$1/100</f>
        <v>7.8</v>
      </c>
      <c r="H86" s="77"/>
      <c r="I86" s="69">
        <f t="shared" si="5"/>
        <v>0</v>
      </c>
      <c r="J86" s="50">
        <f>H86*1.7525</f>
        <v>0</v>
      </c>
      <c r="K86" s="51">
        <f>H86*1</f>
        <v>0</v>
      </c>
      <c r="L86" s="24"/>
      <c r="M86" s="7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3.5">
      <c r="A87" s="62" t="s">
        <v>167</v>
      </c>
      <c r="B87" s="63"/>
      <c r="C87" s="64" t="s">
        <v>168</v>
      </c>
      <c r="D87" s="65" t="s">
        <v>87</v>
      </c>
      <c r="E87" s="65">
        <v>6</v>
      </c>
      <c r="F87" s="66">
        <v>7.8</v>
      </c>
      <c r="G87" s="67">
        <f>F87-F87*$I$1/100</f>
        <v>7.8</v>
      </c>
      <c r="H87" s="77"/>
      <c r="I87" s="69">
        <f t="shared" si="5"/>
        <v>0</v>
      </c>
      <c r="J87" s="50">
        <f>H87*1.7525</f>
        <v>0</v>
      </c>
      <c r="K87" s="51">
        <f>H87*1</f>
        <v>0</v>
      </c>
      <c r="L87" s="24"/>
      <c r="M87" s="7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3.5">
      <c r="A88" s="62" t="s">
        <v>169</v>
      </c>
      <c r="B88" s="63"/>
      <c r="C88" s="64" t="s">
        <v>170</v>
      </c>
      <c r="D88" s="65" t="s">
        <v>87</v>
      </c>
      <c r="E88" s="65">
        <v>6</v>
      </c>
      <c r="F88" s="66">
        <v>7.8</v>
      </c>
      <c r="G88" s="67">
        <f>F88-F88*$I$1/100</f>
        <v>7.8</v>
      </c>
      <c r="H88" s="77"/>
      <c r="I88" s="69">
        <f t="shared" si="5"/>
        <v>0</v>
      </c>
      <c r="J88" s="50">
        <f>H88*1.7525</f>
        <v>0</v>
      </c>
      <c r="K88" s="51">
        <f>H88*1</f>
        <v>0</v>
      </c>
      <c r="L88" s="24"/>
      <c r="M88" s="7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3.5">
      <c r="A89" s="62" t="s">
        <v>171</v>
      </c>
      <c r="B89" s="63"/>
      <c r="C89" s="64" t="s">
        <v>172</v>
      </c>
      <c r="D89" s="65" t="s">
        <v>87</v>
      </c>
      <c r="E89" s="65">
        <v>6</v>
      </c>
      <c r="F89" s="66">
        <v>7.8</v>
      </c>
      <c r="G89" s="67">
        <f>F89-F89*$I$1/100</f>
        <v>7.8</v>
      </c>
      <c r="H89" s="77"/>
      <c r="I89" s="69">
        <f t="shared" si="5"/>
        <v>0</v>
      </c>
      <c r="J89" s="50">
        <f>H89*1.7525</f>
        <v>0</v>
      </c>
      <c r="K89" s="51">
        <f>H89*1</f>
        <v>0</v>
      </c>
      <c r="L89" s="24"/>
      <c r="M89" s="80"/>
      <c r="N89" s="8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3.5">
      <c r="A90" s="76" t="s">
        <v>173</v>
      </c>
      <c r="B90" s="63"/>
      <c r="C90" s="64" t="s">
        <v>174</v>
      </c>
      <c r="D90" s="70" t="s">
        <v>90</v>
      </c>
      <c r="E90" s="65">
        <v>6</v>
      </c>
      <c r="F90" s="84">
        <v>34.86</v>
      </c>
      <c r="G90" s="67">
        <f>F90-F90*$I$1/100</f>
        <v>34.86</v>
      </c>
      <c r="H90" s="77"/>
      <c r="I90" s="69">
        <f t="shared" si="5"/>
        <v>0</v>
      </c>
      <c r="J90" s="50">
        <f>H90*8.2</f>
        <v>0</v>
      </c>
      <c r="K90" s="51">
        <f>H90*5</f>
        <v>0</v>
      </c>
      <c r="L90" s="24"/>
      <c r="M90" s="80"/>
      <c r="N90" s="8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s="13" customFormat="1" ht="13.5">
      <c r="A91" s="82" t="s">
        <v>175</v>
      </c>
      <c r="B91" s="81"/>
      <c r="C91" s="83" t="s">
        <v>176</v>
      </c>
      <c r="D91" s="70" t="s">
        <v>90</v>
      </c>
      <c r="E91" s="70">
        <v>6</v>
      </c>
      <c r="F91" s="84">
        <v>34.86</v>
      </c>
      <c r="G91" s="85">
        <f>F91-F91*$I$1/100</f>
        <v>34.86</v>
      </c>
      <c r="H91" s="77"/>
      <c r="I91" s="69">
        <f t="shared" si="5"/>
        <v>0</v>
      </c>
      <c r="J91" s="50">
        <f>H91*8.2</f>
        <v>0</v>
      </c>
      <c r="K91" s="51">
        <f>H91*5</f>
        <v>0</v>
      </c>
      <c r="L91" s="24"/>
      <c r="M91" s="86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>
      <c r="A92" s="76" t="s">
        <v>177</v>
      </c>
      <c r="B92" s="63"/>
      <c r="C92" s="64" t="s">
        <v>178</v>
      </c>
      <c r="D92" s="70" t="s">
        <v>90</v>
      </c>
      <c r="E92" s="65">
        <v>6</v>
      </c>
      <c r="F92" s="84">
        <v>34.86</v>
      </c>
      <c r="G92" s="67">
        <f>F92-F92*$I$1/100</f>
        <v>34.86</v>
      </c>
      <c r="H92" s="77"/>
      <c r="I92" s="69">
        <f t="shared" si="5"/>
        <v>0</v>
      </c>
      <c r="J92" s="50">
        <f>H92*8.2</f>
        <v>0</v>
      </c>
      <c r="K92" s="51">
        <f>H92*5</f>
        <v>0</v>
      </c>
      <c r="L92" s="24"/>
      <c r="M92" s="80"/>
      <c r="N92" s="8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8.75" customHeight="1">
      <c r="A93" s="62" t="s">
        <v>179</v>
      </c>
      <c r="B93" s="63"/>
      <c r="C93" s="64" t="s">
        <v>180</v>
      </c>
      <c r="D93" s="65" t="s">
        <v>87</v>
      </c>
      <c r="E93" s="65">
        <v>6</v>
      </c>
      <c r="F93" s="66">
        <v>8.75</v>
      </c>
      <c r="G93" s="67">
        <f>F93-F93*$I$1/100</f>
        <v>8.75</v>
      </c>
      <c r="H93" s="77"/>
      <c r="I93" s="69">
        <f t="shared" si="5"/>
        <v>0</v>
      </c>
      <c r="J93" s="50">
        <f>H93*1.7525</f>
        <v>0</v>
      </c>
      <c r="K93" s="51">
        <f>H93*1</f>
        <v>0</v>
      </c>
      <c r="L93" s="24"/>
      <c r="M93" s="80"/>
      <c r="N93" s="8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8.75" customHeight="1">
      <c r="A94" s="62" t="s">
        <v>181</v>
      </c>
      <c r="B94" s="63"/>
      <c r="C94" s="64" t="s">
        <v>182</v>
      </c>
      <c r="D94" s="65" t="s">
        <v>87</v>
      </c>
      <c r="E94" s="65">
        <v>6</v>
      </c>
      <c r="F94" s="66">
        <v>8.75</v>
      </c>
      <c r="G94" s="67">
        <f>F94-F94*$I$1/100</f>
        <v>8.75</v>
      </c>
      <c r="H94" s="77"/>
      <c r="I94" s="69">
        <f t="shared" si="5"/>
        <v>0</v>
      </c>
      <c r="J94" s="50">
        <f>H94*1.7525</f>
        <v>0</v>
      </c>
      <c r="K94" s="51">
        <f>H94*1</f>
        <v>0</v>
      </c>
      <c r="L94" s="24"/>
      <c r="M94" s="80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8.75" customHeight="1">
      <c r="A95" s="62" t="s">
        <v>183</v>
      </c>
      <c r="B95" s="63"/>
      <c r="C95" s="64" t="s">
        <v>184</v>
      </c>
      <c r="D95" s="65" t="s">
        <v>87</v>
      </c>
      <c r="E95" s="65">
        <v>6</v>
      </c>
      <c r="F95" s="66">
        <v>8.75</v>
      </c>
      <c r="G95" s="67">
        <f>F95-F95*$I$1/100</f>
        <v>8.75</v>
      </c>
      <c r="H95" s="77"/>
      <c r="I95" s="69">
        <f t="shared" si="5"/>
        <v>0</v>
      </c>
      <c r="J95" s="50">
        <f>H95*1.7525</f>
        <v>0</v>
      </c>
      <c r="K95" s="51">
        <f>H95*1</f>
        <v>0</v>
      </c>
      <c r="L95" s="24"/>
      <c r="M95" s="80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8.75" customHeight="1">
      <c r="A96" s="62" t="s">
        <v>185</v>
      </c>
      <c r="B96" s="63"/>
      <c r="C96" s="64" t="s">
        <v>186</v>
      </c>
      <c r="D96" s="65" t="s">
        <v>96</v>
      </c>
      <c r="E96" s="65">
        <v>6</v>
      </c>
      <c r="F96" s="66">
        <v>7.8</v>
      </c>
      <c r="G96" s="67">
        <f>F96-F96*$I$1/100</f>
        <v>7.8</v>
      </c>
      <c r="H96" s="77"/>
      <c r="I96" s="69">
        <f t="shared" si="5"/>
        <v>0</v>
      </c>
      <c r="J96" s="50">
        <f>H96*1.7175</f>
        <v>0</v>
      </c>
      <c r="K96" s="51">
        <f>H96*0.96</f>
        <v>0</v>
      </c>
      <c r="L96" s="24"/>
      <c r="M96" s="80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8.75" customHeight="1">
      <c r="A97" s="62" t="s">
        <v>187</v>
      </c>
      <c r="B97" s="63"/>
      <c r="C97" s="64" t="s">
        <v>188</v>
      </c>
      <c r="D97" s="65" t="s">
        <v>96</v>
      </c>
      <c r="E97" s="65">
        <v>6</v>
      </c>
      <c r="F97" s="66">
        <v>7.8</v>
      </c>
      <c r="G97" s="67">
        <f>F97-F97*$I$1/100</f>
        <v>7.8</v>
      </c>
      <c r="H97" s="77"/>
      <c r="I97" s="69">
        <f t="shared" si="5"/>
        <v>0</v>
      </c>
      <c r="J97" s="50">
        <f>H97*1.7175</f>
        <v>0</v>
      </c>
      <c r="K97" s="51">
        <f>H97*0.96</f>
        <v>0</v>
      </c>
      <c r="L97" s="24"/>
      <c r="M97" s="80"/>
      <c r="N97" s="8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8.75" customHeight="1">
      <c r="A98" s="62" t="s">
        <v>189</v>
      </c>
      <c r="B98" s="63"/>
      <c r="C98" s="64" t="s">
        <v>190</v>
      </c>
      <c r="D98" s="65" t="s">
        <v>96</v>
      </c>
      <c r="E98" s="65">
        <v>6</v>
      </c>
      <c r="F98" s="66">
        <v>7.8</v>
      </c>
      <c r="G98" s="67">
        <f>F98-F98*$I$1/100</f>
        <v>7.8</v>
      </c>
      <c r="H98" s="77"/>
      <c r="I98" s="69">
        <f t="shared" si="5"/>
        <v>0</v>
      </c>
      <c r="J98" s="50">
        <f>H98*1.7175</f>
        <v>0</v>
      </c>
      <c r="K98" s="51">
        <f>H98*0.96</f>
        <v>0</v>
      </c>
      <c r="L98" s="24"/>
      <c r="M98" s="80"/>
      <c r="N98" s="8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8.75" customHeight="1">
      <c r="A99" s="62" t="s">
        <v>191</v>
      </c>
      <c r="B99" s="63"/>
      <c r="C99" s="64" t="s">
        <v>192</v>
      </c>
      <c r="D99" s="65" t="s">
        <v>96</v>
      </c>
      <c r="E99" s="65">
        <v>6</v>
      </c>
      <c r="F99" s="66">
        <v>7.8</v>
      </c>
      <c r="G99" s="67">
        <f>F99-F99*$I$1/100</f>
        <v>7.8</v>
      </c>
      <c r="H99" s="77"/>
      <c r="I99" s="69">
        <f t="shared" si="5"/>
        <v>0</v>
      </c>
      <c r="J99" s="50">
        <f>H99*1.7175</f>
        <v>0</v>
      </c>
      <c r="K99" s="51">
        <f>H99*0.96</f>
        <v>0</v>
      </c>
      <c r="L99" s="24"/>
      <c r="M99" s="80"/>
      <c r="N99" s="8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8.75" customHeight="1">
      <c r="A100" s="76" t="s">
        <v>193</v>
      </c>
      <c r="B100" s="63"/>
      <c r="C100" s="64" t="s">
        <v>194</v>
      </c>
      <c r="D100" s="65" t="s">
        <v>195</v>
      </c>
      <c r="E100" s="65">
        <v>6</v>
      </c>
      <c r="F100" s="66">
        <v>21.53</v>
      </c>
      <c r="G100" s="67">
        <f>F100-F100*$I$1/100</f>
        <v>21.53</v>
      </c>
      <c r="H100" s="77"/>
      <c r="I100" s="69">
        <f t="shared" si="5"/>
        <v>0</v>
      </c>
      <c r="J100" s="50">
        <f>H100*5.106</f>
        <v>0</v>
      </c>
      <c r="K100" s="51">
        <f>H100*3</f>
        <v>0</v>
      </c>
      <c r="L100" s="24"/>
      <c r="M100" s="8"/>
      <c r="N100" s="8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8.75" customHeight="1">
      <c r="A101" s="62" t="s">
        <v>196</v>
      </c>
      <c r="B101" s="63"/>
      <c r="C101" s="64" t="s">
        <v>197</v>
      </c>
      <c r="D101" s="65" t="s">
        <v>195</v>
      </c>
      <c r="E101" s="65">
        <v>6</v>
      </c>
      <c r="F101" s="66">
        <v>21.53</v>
      </c>
      <c r="G101" s="67">
        <f>F101-F101*$I$1/100</f>
        <v>21.53</v>
      </c>
      <c r="H101" s="77"/>
      <c r="I101" s="69">
        <f t="shared" si="5"/>
        <v>0</v>
      </c>
      <c r="J101" s="50">
        <f>H101*5.106</f>
        <v>0</v>
      </c>
      <c r="K101" s="51">
        <f>H101*3</f>
        <v>0</v>
      </c>
      <c r="L101" s="24"/>
      <c r="M101" s="8"/>
      <c r="N101" s="8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8.75" customHeight="1">
      <c r="A102" s="76" t="s">
        <v>198</v>
      </c>
      <c r="B102" s="63"/>
      <c r="C102" s="64" t="s">
        <v>199</v>
      </c>
      <c r="D102" s="65" t="s">
        <v>195</v>
      </c>
      <c r="E102" s="65">
        <v>6</v>
      </c>
      <c r="F102" s="66">
        <v>21.53</v>
      </c>
      <c r="G102" s="67">
        <f>F102-F102*$I$1/100</f>
        <v>21.53</v>
      </c>
      <c r="H102" s="77"/>
      <c r="I102" s="69">
        <f t="shared" si="5"/>
        <v>0</v>
      </c>
      <c r="J102" s="50">
        <f>H102*5.106</f>
        <v>0</v>
      </c>
      <c r="K102" s="51">
        <f>H102*3</f>
        <v>0</v>
      </c>
      <c r="L102" s="24"/>
      <c r="M102" s="8"/>
      <c r="N102" s="8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8.75" customHeight="1">
      <c r="A103" s="62" t="s">
        <v>200</v>
      </c>
      <c r="B103" s="63"/>
      <c r="C103" s="64" t="s">
        <v>201</v>
      </c>
      <c r="D103" s="65" t="s">
        <v>87</v>
      </c>
      <c r="E103" s="65">
        <v>6</v>
      </c>
      <c r="F103" s="66">
        <v>10.18</v>
      </c>
      <c r="G103" s="67">
        <f>F103-F103*$I$1/100</f>
        <v>10.18</v>
      </c>
      <c r="H103" s="77"/>
      <c r="I103" s="69">
        <f t="shared" si="5"/>
        <v>0</v>
      </c>
      <c r="J103" s="50">
        <f>H103*1.6908</f>
        <v>0</v>
      </c>
      <c r="K103" s="51">
        <f>H103*1</f>
        <v>0</v>
      </c>
      <c r="L103" s="24"/>
      <c r="M103" s="7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2.75">
      <c r="A104" s="62" t="s">
        <v>202</v>
      </c>
      <c r="B104" s="63"/>
      <c r="C104" s="64" t="s">
        <v>203</v>
      </c>
      <c r="D104" s="65" t="s">
        <v>87</v>
      </c>
      <c r="E104" s="65">
        <v>6</v>
      </c>
      <c r="F104" s="66">
        <v>10.18</v>
      </c>
      <c r="G104" s="67">
        <f>F104-F104*$I$1/100</f>
        <v>10.18</v>
      </c>
      <c r="H104" s="77"/>
      <c r="I104" s="69">
        <f t="shared" si="5"/>
        <v>0</v>
      </c>
      <c r="J104" s="50">
        <f>H104*1.6908</f>
        <v>0</v>
      </c>
      <c r="K104" s="51">
        <f>H104*1</f>
        <v>0</v>
      </c>
      <c r="L104" s="24"/>
      <c r="M104" s="7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3.5">
      <c r="A105" s="32" t="s">
        <v>204</v>
      </c>
      <c r="B105" s="32"/>
      <c r="C105" s="32"/>
      <c r="D105" s="32"/>
      <c r="E105" s="32"/>
      <c r="F105" s="32"/>
      <c r="G105" s="32"/>
      <c r="H105" s="32"/>
      <c r="I105" s="87"/>
      <c r="J105" s="88"/>
      <c r="K105" s="89"/>
      <c r="L105" s="24"/>
      <c r="M105" s="80"/>
      <c r="N105" s="8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3.5">
      <c r="A106" s="90" t="s">
        <v>205</v>
      </c>
      <c r="B106" s="63" t="s">
        <v>206</v>
      </c>
      <c r="C106" s="91" t="s">
        <v>207</v>
      </c>
      <c r="D106" s="65" t="s">
        <v>208</v>
      </c>
      <c r="E106" s="65">
        <v>6</v>
      </c>
      <c r="F106" s="66">
        <v>7.44</v>
      </c>
      <c r="G106" s="67">
        <f>F106-F106*$I$1/100</f>
        <v>7.44</v>
      </c>
      <c r="H106" s="68"/>
      <c r="I106" s="84">
        <f>G106*H106</f>
        <v>0</v>
      </c>
      <c r="J106" s="92">
        <f>H106*1.13</f>
        <v>0</v>
      </c>
      <c r="K106" s="93">
        <f>H106*1</f>
        <v>0</v>
      </c>
      <c r="L106" s="24"/>
      <c r="M106" s="7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3.5">
      <c r="A107" s="94" t="s">
        <v>209</v>
      </c>
      <c r="B107" s="53" t="s">
        <v>210</v>
      </c>
      <c r="C107" s="95" t="s">
        <v>211</v>
      </c>
      <c r="D107" s="55" t="s">
        <v>212</v>
      </c>
      <c r="E107" s="55">
        <v>2</v>
      </c>
      <c r="F107" s="56">
        <v>0</v>
      </c>
      <c r="G107" s="57">
        <f>F107-F107*$I$1/100</f>
        <v>0</v>
      </c>
      <c r="H107" s="58"/>
      <c r="I107" s="96">
        <f>G107*H107</f>
        <v>0</v>
      </c>
      <c r="J107" s="92">
        <f>5.418*H107</f>
        <v>0</v>
      </c>
      <c r="K107" s="93">
        <f>H107*5</f>
        <v>0</v>
      </c>
      <c r="L107" s="24" t="s">
        <v>16</v>
      </c>
      <c r="M107" s="7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3.5">
      <c r="A108" s="90" t="s">
        <v>213</v>
      </c>
      <c r="B108" s="63" t="s">
        <v>214</v>
      </c>
      <c r="C108" s="64" t="s">
        <v>215</v>
      </c>
      <c r="D108" s="65" t="s">
        <v>100</v>
      </c>
      <c r="E108" s="65">
        <v>6</v>
      </c>
      <c r="F108" s="97">
        <v>4.46</v>
      </c>
      <c r="G108" s="67">
        <f>F108-F108*$I$1/100</f>
        <v>4.46</v>
      </c>
      <c r="H108" s="68"/>
      <c r="I108" s="84">
        <f aca="true" t="shared" si="6" ref="I108:I125">G108*H108</f>
        <v>0</v>
      </c>
      <c r="J108" s="92">
        <f>H108*0.61</f>
        <v>0</v>
      </c>
      <c r="K108" s="93">
        <f>H108*0.5</f>
        <v>0</v>
      </c>
      <c r="L108" s="24"/>
      <c r="M108" s="80"/>
      <c r="N108" s="8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s="90" t="s">
        <v>216</v>
      </c>
      <c r="B109" s="63" t="s">
        <v>217</v>
      </c>
      <c r="C109" s="64" t="s">
        <v>218</v>
      </c>
      <c r="D109" s="65" t="s">
        <v>105</v>
      </c>
      <c r="E109" s="65">
        <v>6</v>
      </c>
      <c r="F109" s="66">
        <v>7.44</v>
      </c>
      <c r="G109" s="67">
        <f>F109-F109*$I$1/100</f>
        <v>7.44</v>
      </c>
      <c r="H109" s="68"/>
      <c r="I109" s="98">
        <f t="shared" si="6"/>
        <v>0</v>
      </c>
      <c r="J109" s="99">
        <f>H109*1.13</f>
        <v>0</v>
      </c>
      <c r="K109" s="100">
        <f>H109*1</f>
        <v>0</v>
      </c>
      <c r="L109" s="24"/>
      <c r="M109" s="8"/>
      <c r="N109" s="8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3.5">
      <c r="A110" s="90" t="s">
        <v>219</v>
      </c>
      <c r="B110" s="63" t="s">
        <v>220</v>
      </c>
      <c r="C110" s="64" t="s">
        <v>221</v>
      </c>
      <c r="D110" s="65" t="s">
        <v>212</v>
      </c>
      <c r="E110" s="65">
        <v>2</v>
      </c>
      <c r="F110" s="66">
        <v>35.65</v>
      </c>
      <c r="G110" s="67">
        <f>F110-F110*$I$1/100</f>
        <v>35.65</v>
      </c>
      <c r="H110" s="68"/>
      <c r="I110" s="98">
        <f t="shared" si="6"/>
        <v>0</v>
      </c>
      <c r="J110" s="101">
        <f>H110*5.375</f>
        <v>0</v>
      </c>
      <c r="K110" s="51">
        <f>H110*5</f>
        <v>0</v>
      </c>
      <c r="L110" s="24"/>
      <c r="M110" s="7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>
      <c r="A111" s="90" t="s">
        <v>222</v>
      </c>
      <c r="B111" s="63" t="s">
        <v>223</v>
      </c>
      <c r="C111" s="91" t="s">
        <v>224</v>
      </c>
      <c r="D111" s="65" t="s">
        <v>208</v>
      </c>
      <c r="E111" s="65">
        <v>6</v>
      </c>
      <c r="F111" s="66">
        <v>7.44</v>
      </c>
      <c r="G111" s="67">
        <f>F111-F111*$I$1/100</f>
        <v>7.44</v>
      </c>
      <c r="H111" s="68"/>
      <c r="I111" s="98">
        <f>G111*H111</f>
        <v>0</v>
      </c>
      <c r="J111" s="101">
        <f>H111*1.13</f>
        <v>0</v>
      </c>
      <c r="K111" s="51">
        <f>H111*0.5</f>
        <v>0</v>
      </c>
      <c r="L111" s="2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>
      <c r="A112" s="90" t="s">
        <v>225</v>
      </c>
      <c r="B112" s="63" t="s">
        <v>226</v>
      </c>
      <c r="C112" s="102" t="s">
        <v>227</v>
      </c>
      <c r="D112" s="65" t="s">
        <v>228</v>
      </c>
      <c r="E112" s="65">
        <v>2</v>
      </c>
      <c r="F112" s="66">
        <v>35.65</v>
      </c>
      <c r="G112" s="67">
        <f>F112-F112*$I$1/100</f>
        <v>35.65</v>
      </c>
      <c r="H112" s="68"/>
      <c r="I112" s="98">
        <f>G112*H112</f>
        <v>0</v>
      </c>
      <c r="J112" s="101">
        <f>5.418*H112</f>
        <v>0</v>
      </c>
      <c r="K112" s="51">
        <f>5*H112</f>
        <v>0</v>
      </c>
      <c r="L112" s="2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3.5">
      <c r="A113" s="90" t="s">
        <v>229</v>
      </c>
      <c r="B113" s="63" t="s">
        <v>230</v>
      </c>
      <c r="C113" s="64" t="s">
        <v>231</v>
      </c>
      <c r="D113" s="65" t="s">
        <v>100</v>
      </c>
      <c r="E113" s="65">
        <v>6</v>
      </c>
      <c r="F113" s="66">
        <v>4.46</v>
      </c>
      <c r="G113" s="67">
        <f>F113-F113*$I$1/100</f>
        <v>4.46</v>
      </c>
      <c r="H113" s="68"/>
      <c r="I113" s="98">
        <f>G113*H113</f>
        <v>0</v>
      </c>
      <c r="J113" s="101">
        <f>H113*0.61</f>
        <v>0</v>
      </c>
      <c r="K113" s="51">
        <f>H113*1</f>
        <v>0</v>
      </c>
      <c r="L113" s="24"/>
      <c r="M113" s="7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>
      <c r="A114" s="90" t="s">
        <v>232</v>
      </c>
      <c r="B114" s="63" t="s">
        <v>233</v>
      </c>
      <c r="C114" s="64" t="s">
        <v>234</v>
      </c>
      <c r="D114" s="65" t="s">
        <v>105</v>
      </c>
      <c r="E114" s="65">
        <v>6</v>
      </c>
      <c r="F114" s="66">
        <v>7.44</v>
      </c>
      <c r="G114" s="67">
        <f>F114-F114*$I$1/100</f>
        <v>7.44</v>
      </c>
      <c r="H114" s="68"/>
      <c r="I114" s="98">
        <f t="shared" si="6"/>
        <v>0</v>
      </c>
      <c r="J114" s="101">
        <f>H114*1.13</f>
        <v>0</v>
      </c>
      <c r="K114" s="51">
        <f>H114*1</f>
        <v>0</v>
      </c>
      <c r="L114" s="24"/>
      <c r="M114" s="103"/>
      <c r="N114" s="8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>
      <c r="A115" s="90" t="s">
        <v>235</v>
      </c>
      <c r="B115" s="63" t="s">
        <v>236</v>
      </c>
      <c r="C115" s="64" t="s">
        <v>237</v>
      </c>
      <c r="D115" s="65" t="s">
        <v>212</v>
      </c>
      <c r="E115" s="65">
        <v>2</v>
      </c>
      <c r="F115" s="66">
        <v>35.65</v>
      </c>
      <c r="G115" s="67">
        <f>F115-F115*$I$1/100</f>
        <v>35.65</v>
      </c>
      <c r="H115" s="68"/>
      <c r="I115" s="98">
        <f t="shared" si="6"/>
        <v>0</v>
      </c>
      <c r="J115" s="101">
        <f>H115*5.375</f>
        <v>0</v>
      </c>
      <c r="K115" s="51">
        <f>H115*5</f>
        <v>0</v>
      </c>
      <c r="L115" s="24"/>
      <c r="M115" s="103"/>
      <c r="N115" s="8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>
      <c r="A116" s="90" t="s">
        <v>238</v>
      </c>
      <c r="B116" s="63" t="s">
        <v>239</v>
      </c>
      <c r="C116" s="64" t="s">
        <v>240</v>
      </c>
      <c r="D116" s="65" t="s">
        <v>74</v>
      </c>
      <c r="E116" s="65">
        <v>6</v>
      </c>
      <c r="F116" s="66">
        <v>4.18</v>
      </c>
      <c r="G116" s="67">
        <f>F116-F116*$I$1/100</f>
        <v>4.18</v>
      </c>
      <c r="H116" s="58"/>
      <c r="I116" s="98">
        <f t="shared" si="6"/>
        <v>0</v>
      </c>
      <c r="J116" s="101">
        <f>H116*0.6</f>
        <v>0</v>
      </c>
      <c r="K116" s="51">
        <f>H116*0.5</f>
        <v>0</v>
      </c>
      <c r="L116" s="104" t="s">
        <v>241</v>
      </c>
      <c r="M116" s="30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>
      <c r="A117" s="90" t="s">
        <v>242</v>
      </c>
      <c r="B117" s="63" t="s">
        <v>243</v>
      </c>
      <c r="C117" s="64" t="s">
        <v>244</v>
      </c>
      <c r="D117" s="65" t="s">
        <v>105</v>
      </c>
      <c r="E117" s="65">
        <v>6</v>
      </c>
      <c r="F117" s="66">
        <v>6.97</v>
      </c>
      <c r="G117" s="67">
        <f>F117-F117*$I$1/100</f>
        <v>6.97</v>
      </c>
      <c r="H117" s="58"/>
      <c r="I117" s="98">
        <f t="shared" si="6"/>
        <v>0</v>
      </c>
      <c r="J117" s="101">
        <f>H117*1.11</f>
        <v>0</v>
      </c>
      <c r="K117" s="51">
        <f>H117*1</f>
        <v>0</v>
      </c>
      <c r="L117" s="104" t="s">
        <v>241</v>
      </c>
      <c r="M117" s="3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>
      <c r="A118" s="90" t="s">
        <v>245</v>
      </c>
      <c r="B118" s="63" t="s">
        <v>246</v>
      </c>
      <c r="C118" s="64" t="s">
        <v>247</v>
      </c>
      <c r="D118" s="65" t="s">
        <v>212</v>
      </c>
      <c r="E118" s="65">
        <v>2</v>
      </c>
      <c r="F118" s="66">
        <v>33.41</v>
      </c>
      <c r="G118" s="67">
        <f>F118-F118*$I$1/100</f>
        <v>33.41</v>
      </c>
      <c r="H118" s="68"/>
      <c r="I118" s="98">
        <f t="shared" si="6"/>
        <v>0</v>
      </c>
      <c r="J118" s="101">
        <f>H118*5.275</f>
        <v>0</v>
      </c>
      <c r="K118" s="51">
        <f>H118*5</f>
        <v>0</v>
      </c>
      <c r="L118" s="104" t="s">
        <v>241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>
      <c r="A119" s="90" t="s">
        <v>248</v>
      </c>
      <c r="B119" s="63" t="s">
        <v>249</v>
      </c>
      <c r="C119" s="105" t="s">
        <v>250</v>
      </c>
      <c r="D119" s="106" t="s">
        <v>107</v>
      </c>
      <c r="E119" s="106">
        <v>6</v>
      </c>
      <c r="F119" s="97">
        <v>7.44</v>
      </c>
      <c r="G119" s="67">
        <f>F119-F119*$I$1/100</f>
        <v>7.44</v>
      </c>
      <c r="H119" s="68"/>
      <c r="I119" s="98">
        <f t="shared" si="6"/>
        <v>0</v>
      </c>
      <c r="J119" s="101">
        <f>H119*1.12</f>
        <v>0</v>
      </c>
      <c r="K119" s="51">
        <f>H119*1</f>
        <v>0</v>
      </c>
      <c r="L119" s="24"/>
      <c r="M119" s="7"/>
      <c r="N119" s="7"/>
      <c r="O119" s="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s="9" customFormat="1" ht="12.75">
      <c r="A120" s="90" t="s">
        <v>251</v>
      </c>
      <c r="B120" s="63" t="s">
        <v>252</v>
      </c>
      <c r="C120" s="105" t="s">
        <v>253</v>
      </c>
      <c r="D120" s="106" t="s">
        <v>212</v>
      </c>
      <c r="E120" s="106">
        <v>2</v>
      </c>
      <c r="F120" s="97">
        <v>35.65</v>
      </c>
      <c r="G120" s="67">
        <f>F120-F120*$I$1/100</f>
        <v>35.65</v>
      </c>
      <c r="H120" s="68"/>
      <c r="I120" s="98">
        <f t="shared" si="6"/>
        <v>0</v>
      </c>
      <c r="J120" s="101">
        <f>H120*5.325</f>
        <v>0</v>
      </c>
      <c r="K120" s="51">
        <f>H120*5</f>
        <v>0</v>
      </c>
      <c r="L120" s="24"/>
      <c r="M120" s="7"/>
      <c r="N120" s="7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12.75">
      <c r="A121" s="90" t="s">
        <v>254</v>
      </c>
      <c r="B121" s="63" t="s">
        <v>255</v>
      </c>
      <c r="C121" s="64" t="s">
        <v>256</v>
      </c>
      <c r="D121" s="65" t="s">
        <v>100</v>
      </c>
      <c r="E121" s="65">
        <v>6</v>
      </c>
      <c r="F121" s="66">
        <v>4.46</v>
      </c>
      <c r="G121" s="67">
        <f>F121-F121*$I$1/100</f>
        <v>4.46</v>
      </c>
      <c r="H121" s="68"/>
      <c r="I121" s="98">
        <f t="shared" si="6"/>
        <v>0</v>
      </c>
      <c r="J121" s="101">
        <f>H121*0.6</f>
        <v>0</v>
      </c>
      <c r="K121" s="51">
        <f>H121*0.5</f>
        <v>0</v>
      </c>
      <c r="L121" s="2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3.5">
      <c r="A122" s="90" t="s">
        <v>257</v>
      </c>
      <c r="B122" s="63" t="s">
        <v>258</v>
      </c>
      <c r="C122" s="107" t="s">
        <v>259</v>
      </c>
      <c r="D122" s="65" t="s">
        <v>100</v>
      </c>
      <c r="E122" s="65">
        <v>6</v>
      </c>
      <c r="F122" s="97">
        <v>5.9</v>
      </c>
      <c r="G122" s="67">
        <f>F122-F122*$I$1/100</f>
        <v>5.9</v>
      </c>
      <c r="H122" s="68"/>
      <c r="I122" s="98">
        <f t="shared" si="6"/>
        <v>0</v>
      </c>
      <c r="J122" s="101">
        <f>H122*0.6</f>
        <v>0</v>
      </c>
      <c r="K122" s="51">
        <f>H122*0.5</f>
        <v>0</v>
      </c>
      <c r="L122" s="24"/>
      <c r="M122" s="80"/>
      <c r="N122" s="8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>
      <c r="A123" s="90" t="s">
        <v>260</v>
      </c>
      <c r="B123" s="63" t="s">
        <v>261</v>
      </c>
      <c r="C123" s="107" t="s">
        <v>262</v>
      </c>
      <c r="D123" s="65" t="s">
        <v>105</v>
      </c>
      <c r="E123" s="65">
        <v>6</v>
      </c>
      <c r="F123" s="97">
        <v>9.82</v>
      </c>
      <c r="G123" s="67">
        <f>F123-F123*$I$1/100</f>
        <v>9.82</v>
      </c>
      <c r="H123" s="68"/>
      <c r="I123" s="98">
        <f t="shared" si="6"/>
        <v>0</v>
      </c>
      <c r="J123" s="101">
        <f>H123*1.11</f>
        <v>0</v>
      </c>
      <c r="K123" s="51">
        <f>H123*1</f>
        <v>0</v>
      </c>
      <c r="L123" s="24"/>
      <c r="M123" s="8"/>
      <c r="N123" s="8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3.5">
      <c r="A124" s="90" t="s">
        <v>263</v>
      </c>
      <c r="B124" s="63" t="s">
        <v>264</v>
      </c>
      <c r="C124" s="107" t="s">
        <v>265</v>
      </c>
      <c r="D124" s="65" t="s">
        <v>212</v>
      </c>
      <c r="E124" s="65">
        <v>2</v>
      </c>
      <c r="F124" s="97">
        <v>47.22</v>
      </c>
      <c r="G124" s="67">
        <f>F124-F124*$I$1/100</f>
        <v>47.22</v>
      </c>
      <c r="H124" s="68"/>
      <c r="I124" s="98">
        <f t="shared" si="6"/>
        <v>0</v>
      </c>
      <c r="J124" s="101">
        <f>H124*5.275</f>
        <v>0</v>
      </c>
      <c r="K124" s="51">
        <f>H124*5</f>
        <v>0</v>
      </c>
      <c r="L124" s="24"/>
      <c r="M124" s="80"/>
      <c r="N124" s="8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s="9" customFormat="1" ht="12.75">
      <c r="A125" s="62">
        <v>4607116120903</v>
      </c>
      <c r="B125" s="63" t="s">
        <v>266</v>
      </c>
      <c r="C125" s="64" t="s">
        <v>267</v>
      </c>
      <c r="D125" s="65" t="s">
        <v>63</v>
      </c>
      <c r="E125" s="65">
        <v>12</v>
      </c>
      <c r="F125" s="66">
        <v>2.72</v>
      </c>
      <c r="G125" s="72">
        <f>F125-F125*$I$1/100</f>
        <v>2.72</v>
      </c>
      <c r="H125" s="68"/>
      <c r="I125" s="98">
        <f t="shared" si="6"/>
        <v>0</v>
      </c>
      <c r="J125" s="101">
        <f>H125*0.38417</f>
        <v>0</v>
      </c>
      <c r="K125" s="51">
        <f>H125*0.52</f>
        <v>0</v>
      </c>
      <c r="L125" s="24"/>
      <c r="M125" s="1"/>
      <c r="N125" s="1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13.5">
      <c r="A126" s="32" t="s">
        <v>268</v>
      </c>
      <c r="B126" s="32"/>
      <c r="C126" s="32"/>
      <c r="D126" s="32"/>
      <c r="E126" s="32"/>
      <c r="F126" s="32"/>
      <c r="G126" s="32"/>
      <c r="H126" s="32"/>
      <c r="I126" s="87"/>
      <c r="J126" s="108"/>
      <c r="K126" s="109"/>
      <c r="L126" s="24"/>
      <c r="M126" s="80"/>
      <c r="N126" s="8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3.5">
      <c r="A127" s="90" t="s">
        <v>269</v>
      </c>
      <c r="B127" s="63"/>
      <c r="C127" s="102" t="s">
        <v>270</v>
      </c>
      <c r="D127" s="65" t="s">
        <v>271</v>
      </c>
      <c r="E127" s="65">
        <v>6</v>
      </c>
      <c r="F127" s="97">
        <v>15.19</v>
      </c>
      <c r="G127" s="67">
        <f>F127-F127*$I$1/100</f>
        <v>15.19</v>
      </c>
      <c r="H127" s="68"/>
      <c r="I127" s="84">
        <f aca="true" t="shared" si="7" ref="I127:I145">G127*H127</f>
        <v>0</v>
      </c>
      <c r="J127" s="93">
        <f>H127*1.724</f>
        <v>0</v>
      </c>
      <c r="K127" s="93">
        <f>H127*1.5</f>
        <v>0</v>
      </c>
      <c r="L127" s="24"/>
      <c r="M127" s="80"/>
      <c r="N127" s="8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3.5">
      <c r="A128" s="94" t="s">
        <v>272</v>
      </c>
      <c r="B128" s="53"/>
      <c r="C128" s="95" t="s">
        <v>273</v>
      </c>
      <c r="D128" s="110" t="s">
        <v>274</v>
      </c>
      <c r="E128" s="55">
        <v>2</v>
      </c>
      <c r="F128" s="111">
        <v>0</v>
      </c>
      <c r="G128" s="57">
        <f>F128-F128*$I$1/100</f>
        <v>0</v>
      </c>
      <c r="H128" s="58"/>
      <c r="I128" s="96">
        <f t="shared" si="7"/>
        <v>0</v>
      </c>
      <c r="J128" s="92">
        <f>8.235*H128</f>
        <v>0</v>
      </c>
      <c r="K128" s="93">
        <f>7.5*H128</f>
        <v>0</v>
      </c>
      <c r="L128" s="24" t="s">
        <v>16</v>
      </c>
      <c r="M128" s="80"/>
      <c r="N128" s="8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3.5">
      <c r="A129" s="90" t="s">
        <v>275</v>
      </c>
      <c r="B129" s="63"/>
      <c r="C129" s="64" t="s">
        <v>276</v>
      </c>
      <c r="D129" s="65" t="s">
        <v>277</v>
      </c>
      <c r="E129" s="65">
        <v>6</v>
      </c>
      <c r="F129" s="97">
        <v>9.55</v>
      </c>
      <c r="G129" s="67">
        <f>F129-F129*$I$1/100</f>
        <v>9.55</v>
      </c>
      <c r="H129" s="68"/>
      <c r="I129" s="84">
        <f t="shared" si="7"/>
        <v>0</v>
      </c>
      <c r="J129" s="92">
        <f>H129*0.9075</f>
        <v>0</v>
      </c>
      <c r="K129" s="93">
        <f>H129*0.75</f>
        <v>0</v>
      </c>
      <c r="L129" s="24"/>
      <c r="M129" s="80"/>
      <c r="N129" s="8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>
      <c r="A130" s="90" t="s">
        <v>278</v>
      </c>
      <c r="B130" s="63"/>
      <c r="C130" s="64" t="s">
        <v>279</v>
      </c>
      <c r="D130" s="65" t="s">
        <v>271</v>
      </c>
      <c r="E130" s="65">
        <v>6</v>
      </c>
      <c r="F130" s="66">
        <v>15.19</v>
      </c>
      <c r="G130" s="67">
        <f>F130-F130*$I$1/100</f>
        <v>15.19</v>
      </c>
      <c r="H130" s="68"/>
      <c r="I130" s="98">
        <f t="shared" si="7"/>
        <v>0</v>
      </c>
      <c r="J130" s="99">
        <f>H130*1.724</f>
        <v>0</v>
      </c>
      <c r="K130" s="100">
        <f>H130*1.5</f>
        <v>0</v>
      </c>
      <c r="L130" s="24"/>
      <c r="M130" s="8"/>
      <c r="N130" s="8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3.5">
      <c r="A131" s="112" t="s">
        <v>280</v>
      </c>
      <c r="B131" s="63"/>
      <c r="C131" s="64" t="s">
        <v>281</v>
      </c>
      <c r="D131" s="106" t="s">
        <v>274</v>
      </c>
      <c r="E131" s="65">
        <v>2</v>
      </c>
      <c r="F131" s="66">
        <v>72.93</v>
      </c>
      <c r="G131" s="67">
        <f>F131-F131*$I$1/100</f>
        <v>72.93</v>
      </c>
      <c r="H131" s="68"/>
      <c r="I131" s="98">
        <f t="shared" si="7"/>
        <v>0</v>
      </c>
      <c r="J131" s="101">
        <f>H131*8.125</f>
        <v>0</v>
      </c>
      <c r="K131" s="51">
        <f>H131*7.5</f>
        <v>0</v>
      </c>
      <c r="L131" s="24"/>
      <c r="M131" s="7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3.5">
      <c r="A132" s="112" t="s">
        <v>282</v>
      </c>
      <c r="B132" s="63"/>
      <c r="C132" s="102" t="s">
        <v>283</v>
      </c>
      <c r="D132" s="65" t="s">
        <v>271</v>
      </c>
      <c r="E132" s="65">
        <v>6</v>
      </c>
      <c r="F132" s="66">
        <v>15.19</v>
      </c>
      <c r="G132" s="67">
        <f>F132-F132*$I$1/100</f>
        <v>15.19</v>
      </c>
      <c r="H132" s="68"/>
      <c r="I132" s="98">
        <f t="shared" si="7"/>
        <v>0</v>
      </c>
      <c r="J132" s="101">
        <f>H132*1.714</f>
        <v>0</v>
      </c>
      <c r="K132" s="51">
        <f>H132*1.5</f>
        <v>0</v>
      </c>
      <c r="L132" s="24"/>
      <c r="M132" s="7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3.5">
      <c r="A133" s="90" t="s">
        <v>284</v>
      </c>
      <c r="B133" s="63"/>
      <c r="C133" s="102" t="s">
        <v>285</v>
      </c>
      <c r="D133" s="106" t="s">
        <v>274</v>
      </c>
      <c r="E133" s="65">
        <v>2</v>
      </c>
      <c r="F133" s="66">
        <v>72.93</v>
      </c>
      <c r="G133" s="67">
        <f>F133-F133*$I$1/100</f>
        <v>72.93</v>
      </c>
      <c r="H133" s="68"/>
      <c r="I133" s="98">
        <f t="shared" si="7"/>
        <v>0</v>
      </c>
      <c r="J133" s="101">
        <f>8.168*H133</f>
        <v>0</v>
      </c>
      <c r="K133" s="51">
        <f>7.5*H133</f>
        <v>0</v>
      </c>
      <c r="L133" s="24"/>
      <c r="M133" s="7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3.5">
      <c r="A134" s="90" t="s">
        <v>286</v>
      </c>
      <c r="B134" s="63"/>
      <c r="C134" s="64" t="s">
        <v>287</v>
      </c>
      <c r="D134" s="65" t="s">
        <v>277</v>
      </c>
      <c r="E134" s="65">
        <v>6</v>
      </c>
      <c r="F134" s="66">
        <v>9.55</v>
      </c>
      <c r="G134" s="67">
        <f>F134-F134*$I$1/100</f>
        <v>9.55</v>
      </c>
      <c r="H134" s="68"/>
      <c r="I134" s="98">
        <f t="shared" si="7"/>
        <v>0</v>
      </c>
      <c r="J134" s="101">
        <f>H134*0.9075</f>
        <v>0</v>
      </c>
      <c r="K134" s="51">
        <f>H134*0.75</f>
        <v>0</v>
      </c>
      <c r="L134" s="24"/>
      <c r="M134" s="7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>
      <c r="A135" s="90" t="s">
        <v>288</v>
      </c>
      <c r="B135" s="63"/>
      <c r="C135" s="64" t="s">
        <v>289</v>
      </c>
      <c r="D135" s="65" t="s">
        <v>271</v>
      </c>
      <c r="E135" s="65">
        <v>6</v>
      </c>
      <c r="F135" s="66">
        <v>15.19</v>
      </c>
      <c r="G135" s="67">
        <f>F135-F135*$I$1/100</f>
        <v>15.19</v>
      </c>
      <c r="H135" s="68"/>
      <c r="I135" s="98">
        <f t="shared" si="7"/>
        <v>0</v>
      </c>
      <c r="J135" s="101">
        <f>H135*1.714</f>
        <v>0</v>
      </c>
      <c r="K135" s="51">
        <f>H135*1.5</f>
        <v>0</v>
      </c>
      <c r="L135" s="24"/>
      <c r="M135" s="103"/>
      <c r="N135" s="8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>
      <c r="A136" s="112" t="s">
        <v>290</v>
      </c>
      <c r="B136" s="63"/>
      <c r="C136" s="64" t="s">
        <v>291</v>
      </c>
      <c r="D136" s="106" t="s">
        <v>274</v>
      </c>
      <c r="E136" s="65">
        <v>2</v>
      </c>
      <c r="F136" s="66">
        <v>72.93</v>
      </c>
      <c r="G136" s="67">
        <f>F136-F136*$I$1/100</f>
        <v>72.93</v>
      </c>
      <c r="H136" s="68"/>
      <c r="I136" s="98">
        <f t="shared" si="7"/>
        <v>0</v>
      </c>
      <c r="J136" s="101">
        <f>H136*8.125</f>
        <v>0</v>
      </c>
      <c r="K136" s="51">
        <f>H136*7.5</f>
        <v>0</v>
      </c>
      <c r="L136" s="24"/>
      <c r="M136" s="103"/>
      <c r="N136" s="8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>
      <c r="A137" s="90" t="s">
        <v>292</v>
      </c>
      <c r="B137" s="63"/>
      <c r="C137" s="64" t="s">
        <v>293</v>
      </c>
      <c r="D137" s="65" t="s">
        <v>294</v>
      </c>
      <c r="E137" s="65">
        <v>6</v>
      </c>
      <c r="F137" s="66">
        <v>8.4</v>
      </c>
      <c r="G137" s="67">
        <f>F137-F137*$I$1/100</f>
        <v>8.4</v>
      </c>
      <c r="H137" s="58"/>
      <c r="I137" s="98">
        <f t="shared" si="7"/>
        <v>0</v>
      </c>
      <c r="J137" s="101">
        <f>H137*0.888</f>
        <v>0</v>
      </c>
      <c r="K137" s="51">
        <f>H137*0.75</f>
        <v>0</v>
      </c>
      <c r="L137" s="104" t="s">
        <v>241</v>
      </c>
      <c r="M137" s="30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1.75" customHeight="1">
      <c r="A138" s="90" t="s">
        <v>295</v>
      </c>
      <c r="B138" s="63"/>
      <c r="C138" s="64" t="s">
        <v>296</v>
      </c>
      <c r="D138" s="65" t="s">
        <v>271</v>
      </c>
      <c r="E138" s="65">
        <v>6</v>
      </c>
      <c r="F138" s="66">
        <v>13.46</v>
      </c>
      <c r="G138" s="67">
        <f>F138-F138*$I$1/100</f>
        <v>13.46</v>
      </c>
      <c r="H138" s="58"/>
      <c r="I138" s="98">
        <f t="shared" si="7"/>
        <v>0</v>
      </c>
      <c r="J138" s="101">
        <f>H138*1.674</f>
        <v>0</v>
      </c>
      <c r="K138" s="51">
        <f>H138*1.5</f>
        <v>0</v>
      </c>
      <c r="L138" s="104" t="s">
        <v>241</v>
      </c>
      <c r="M138" s="30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>
      <c r="A139" s="112" t="s">
        <v>297</v>
      </c>
      <c r="B139" s="63"/>
      <c r="C139" s="64" t="s">
        <v>298</v>
      </c>
      <c r="D139" s="106" t="s">
        <v>274</v>
      </c>
      <c r="E139" s="65">
        <v>2</v>
      </c>
      <c r="F139" s="66">
        <v>64.51</v>
      </c>
      <c r="G139" s="67">
        <f>F139-F139*$I$1/100</f>
        <v>64.51</v>
      </c>
      <c r="H139" s="68"/>
      <c r="I139" s="98">
        <f t="shared" si="7"/>
        <v>0</v>
      </c>
      <c r="J139" s="101">
        <f>H139*7.958</f>
        <v>0</v>
      </c>
      <c r="K139" s="51">
        <f>H139*7.5</f>
        <v>0</v>
      </c>
      <c r="L139" s="104" t="s">
        <v>241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>
      <c r="A140" s="90" t="s">
        <v>299</v>
      </c>
      <c r="B140" s="63"/>
      <c r="C140" s="105" t="s">
        <v>300</v>
      </c>
      <c r="D140" s="106" t="s">
        <v>271</v>
      </c>
      <c r="E140" s="106">
        <v>6</v>
      </c>
      <c r="F140" s="97">
        <v>15.18</v>
      </c>
      <c r="G140" s="67">
        <f>F140-F140*$I$1/100</f>
        <v>15.18</v>
      </c>
      <c r="H140" s="68"/>
      <c r="I140" s="98">
        <f t="shared" si="7"/>
        <v>0</v>
      </c>
      <c r="J140" s="101">
        <f>H140*1.704</f>
        <v>0</v>
      </c>
      <c r="K140" s="51">
        <f>H140*1.5</f>
        <v>0</v>
      </c>
      <c r="L140" s="24"/>
      <c r="M140" s="7"/>
      <c r="N140" s="7"/>
      <c r="O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s="9" customFormat="1" ht="12.75">
      <c r="A141" s="112" t="s">
        <v>301</v>
      </c>
      <c r="B141" s="63"/>
      <c r="C141" s="105" t="s">
        <v>302</v>
      </c>
      <c r="D141" s="106" t="s">
        <v>274</v>
      </c>
      <c r="E141" s="106">
        <v>2</v>
      </c>
      <c r="F141" s="97">
        <v>72.86</v>
      </c>
      <c r="G141" s="67">
        <f>F141-F141*$I$1/100</f>
        <v>72.86</v>
      </c>
      <c r="H141" s="68"/>
      <c r="I141" s="98">
        <f t="shared" si="7"/>
        <v>0</v>
      </c>
      <c r="J141" s="101">
        <f>H141*8.108</f>
        <v>0</v>
      </c>
      <c r="K141" s="51">
        <f>H141*7.5</f>
        <v>0</v>
      </c>
      <c r="L141" s="24"/>
      <c r="M141" s="7"/>
      <c r="N141" s="7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ht="12.75">
      <c r="A142" s="90" t="s">
        <v>303</v>
      </c>
      <c r="B142" s="63"/>
      <c r="C142" s="64" t="s">
        <v>304</v>
      </c>
      <c r="D142" s="65" t="s">
        <v>305</v>
      </c>
      <c r="E142" s="65">
        <v>6</v>
      </c>
      <c r="F142" s="66">
        <v>9.24</v>
      </c>
      <c r="G142" s="67">
        <f>F142-F142*$I$1/100</f>
        <v>9.24</v>
      </c>
      <c r="H142" s="68"/>
      <c r="I142" s="98">
        <f t="shared" si="7"/>
        <v>0</v>
      </c>
      <c r="J142" s="101">
        <f>H142*0.828</f>
        <v>0</v>
      </c>
      <c r="K142" s="51">
        <f>H142*0.667</f>
        <v>0</v>
      </c>
      <c r="L142" s="2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3.5">
      <c r="A143" s="90" t="s">
        <v>306</v>
      </c>
      <c r="B143" s="63"/>
      <c r="C143" s="107" t="s">
        <v>307</v>
      </c>
      <c r="D143" s="65" t="s">
        <v>277</v>
      </c>
      <c r="E143" s="65">
        <v>6</v>
      </c>
      <c r="F143" s="97">
        <v>10.83</v>
      </c>
      <c r="G143" s="67">
        <f>F143-F143*$I$1/100</f>
        <v>10.83</v>
      </c>
      <c r="H143" s="68"/>
      <c r="I143" s="98">
        <f t="shared" si="7"/>
        <v>0</v>
      </c>
      <c r="J143" s="101">
        <f>H143*0.9</f>
        <v>0</v>
      </c>
      <c r="K143" s="51">
        <f>H143*0.75</f>
        <v>0</v>
      </c>
      <c r="L143" s="24"/>
      <c r="M143" s="80"/>
      <c r="N143" s="8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2.75">
      <c r="A144" s="90" t="s">
        <v>308</v>
      </c>
      <c r="B144" s="63"/>
      <c r="C144" s="107" t="s">
        <v>309</v>
      </c>
      <c r="D144" s="65" t="s">
        <v>271</v>
      </c>
      <c r="E144" s="65">
        <v>6</v>
      </c>
      <c r="F144" s="97">
        <v>17.61</v>
      </c>
      <c r="G144" s="67">
        <f>F144-F144*$I$1/100</f>
        <v>17.61</v>
      </c>
      <c r="H144" s="68"/>
      <c r="I144" s="98">
        <f>G144*H144</f>
        <v>0</v>
      </c>
      <c r="J144" s="101">
        <f>H144*1.684</f>
        <v>0</v>
      </c>
      <c r="K144" s="51">
        <f>H144*1.5</f>
        <v>0</v>
      </c>
      <c r="L144" s="24"/>
      <c r="M144" s="8"/>
      <c r="N144" s="8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2.75">
      <c r="A145" s="90" t="s">
        <v>310</v>
      </c>
      <c r="B145" s="63"/>
      <c r="C145" s="107" t="s">
        <v>311</v>
      </c>
      <c r="D145" s="65" t="s">
        <v>312</v>
      </c>
      <c r="E145" s="65">
        <v>2</v>
      </c>
      <c r="F145" s="97">
        <v>84.56</v>
      </c>
      <c r="G145" s="67">
        <f>F145-F145*$I$1/100</f>
        <v>84.56</v>
      </c>
      <c r="H145" s="68"/>
      <c r="I145" s="98">
        <f t="shared" si="7"/>
        <v>0</v>
      </c>
      <c r="J145" s="101">
        <f>H145*7.998</f>
        <v>0</v>
      </c>
      <c r="K145" s="51">
        <f>H145*7.5</f>
        <v>0</v>
      </c>
      <c r="L145" s="24"/>
      <c r="M145" s="8"/>
      <c r="N145" s="8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3.5">
      <c r="A146" s="32" t="s">
        <v>313</v>
      </c>
      <c r="B146" s="32"/>
      <c r="C146" s="32"/>
      <c r="D146" s="32"/>
      <c r="E146" s="32"/>
      <c r="F146" s="32"/>
      <c r="G146" s="32"/>
      <c r="H146" s="32"/>
      <c r="I146" s="87"/>
      <c r="J146" s="88"/>
      <c r="K146" s="89"/>
      <c r="L146" s="24"/>
      <c r="M146" s="80"/>
      <c r="N146" s="8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s="9" customFormat="1" ht="12.75">
      <c r="A147" s="62">
        <v>4607116123546</v>
      </c>
      <c r="B147" s="63" t="s">
        <v>314</v>
      </c>
      <c r="C147" s="113" t="s">
        <v>315</v>
      </c>
      <c r="D147" s="106" t="s">
        <v>107</v>
      </c>
      <c r="E147" s="70">
        <v>6</v>
      </c>
      <c r="F147" s="84">
        <v>4.6</v>
      </c>
      <c r="G147" s="72">
        <f>F147-F147*$I$1/100</f>
        <v>4.6</v>
      </c>
      <c r="H147" s="68"/>
      <c r="I147" s="69">
        <f aca="true" t="shared" si="8" ref="I147:I155">G147*H147</f>
        <v>0</v>
      </c>
      <c r="J147" s="50">
        <f>H147*1.3167</f>
        <v>0</v>
      </c>
      <c r="K147" s="51">
        <f>H147*1</f>
        <v>0</v>
      </c>
      <c r="L147" s="24"/>
      <c r="M147" s="7"/>
      <c r="N147" s="7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s="9" customFormat="1" ht="12.75">
      <c r="A148" s="62">
        <v>4607116123553</v>
      </c>
      <c r="B148" s="63" t="s">
        <v>314</v>
      </c>
      <c r="C148" s="113" t="s">
        <v>316</v>
      </c>
      <c r="D148" s="106" t="s">
        <v>107</v>
      </c>
      <c r="E148" s="70">
        <v>6</v>
      </c>
      <c r="F148" s="84">
        <v>4.6</v>
      </c>
      <c r="G148" s="72">
        <f>F148-F148*$I$1/100</f>
        <v>4.6</v>
      </c>
      <c r="H148" s="68"/>
      <c r="I148" s="69">
        <f t="shared" si="8"/>
        <v>0</v>
      </c>
      <c r="J148" s="50">
        <f>H148*1.3167</f>
        <v>0</v>
      </c>
      <c r="K148" s="51">
        <f>H148*1</f>
        <v>0</v>
      </c>
      <c r="L148" s="24"/>
      <c r="M148" s="7"/>
      <c r="N148" s="7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ht="12.75">
      <c r="A149" s="42">
        <v>4607116123690</v>
      </c>
      <c r="B149" s="43" t="s">
        <v>317</v>
      </c>
      <c r="C149" s="114" t="s">
        <v>318</v>
      </c>
      <c r="D149" s="45" t="s">
        <v>63</v>
      </c>
      <c r="E149" s="45">
        <v>12</v>
      </c>
      <c r="F149" s="46">
        <v>0</v>
      </c>
      <c r="G149" s="115">
        <f>F149-F149*$I$1/100</f>
        <v>0</v>
      </c>
      <c r="H149" s="48"/>
      <c r="I149" s="49">
        <f t="shared" si="8"/>
        <v>0</v>
      </c>
      <c r="J149" s="50">
        <f>H149*0.43417</f>
        <v>0</v>
      </c>
      <c r="K149" s="51">
        <f>H149*0.4</f>
        <v>0</v>
      </c>
      <c r="L149" s="24" t="s">
        <v>16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>
      <c r="A150" s="42">
        <v>4607116123706</v>
      </c>
      <c r="B150" s="43" t="s">
        <v>317</v>
      </c>
      <c r="C150" s="114" t="s">
        <v>319</v>
      </c>
      <c r="D150" s="45" t="s">
        <v>63</v>
      </c>
      <c r="E150" s="45">
        <v>12</v>
      </c>
      <c r="F150" s="46">
        <v>0</v>
      </c>
      <c r="G150" s="115">
        <f>F150-F150*$I$1/100</f>
        <v>0</v>
      </c>
      <c r="H150" s="48"/>
      <c r="I150" s="49">
        <f t="shared" si="8"/>
        <v>0</v>
      </c>
      <c r="J150" s="50">
        <f>H150*0.43417</f>
        <v>0</v>
      </c>
      <c r="K150" s="51">
        <f>H150*0.4</f>
        <v>0</v>
      </c>
      <c r="L150" s="24" t="s">
        <v>16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s="9" customFormat="1" ht="12.75">
      <c r="A151" s="42">
        <v>4607116121238</v>
      </c>
      <c r="B151" s="43" t="s">
        <v>320</v>
      </c>
      <c r="C151" s="114" t="s">
        <v>321</v>
      </c>
      <c r="D151" s="45" t="s">
        <v>63</v>
      </c>
      <c r="E151" s="45">
        <v>12</v>
      </c>
      <c r="F151" s="46">
        <v>0</v>
      </c>
      <c r="G151" s="115">
        <f>F151-F151*$I$1/100</f>
        <v>0</v>
      </c>
      <c r="H151" s="48"/>
      <c r="I151" s="49">
        <f t="shared" si="8"/>
        <v>0</v>
      </c>
      <c r="J151" s="50">
        <f>H151*0.43417</f>
        <v>0</v>
      </c>
      <c r="K151" s="51">
        <f>H151*0.4</f>
        <v>0</v>
      </c>
      <c r="L151" s="24" t="s">
        <v>16</v>
      </c>
      <c r="M151" s="1"/>
      <c r="N151" s="1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s="9" customFormat="1" ht="12.75">
      <c r="A152" s="42">
        <v>4607116120941</v>
      </c>
      <c r="B152" s="43" t="s">
        <v>320</v>
      </c>
      <c r="C152" s="114" t="s">
        <v>322</v>
      </c>
      <c r="D152" s="45" t="s">
        <v>63</v>
      </c>
      <c r="E152" s="45">
        <v>12</v>
      </c>
      <c r="F152" s="46">
        <v>0</v>
      </c>
      <c r="G152" s="115">
        <f>F152-F152*$I$1/100</f>
        <v>0</v>
      </c>
      <c r="H152" s="48"/>
      <c r="I152" s="49">
        <f t="shared" si="8"/>
        <v>0</v>
      </c>
      <c r="J152" s="50">
        <f>H152*0.43417</f>
        <v>0</v>
      </c>
      <c r="K152" s="51">
        <f>H152*0.4</f>
        <v>0</v>
      </c>
      <c r="L152" s="24" t="s">
        <v>16</v>
      </c>
      <c r="M152" s="1"/>
      <c r="N152" s="1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s="9" customFormat="1" ht="13.5">
      <c r="A153" s="62">
        <v>4607116123362</v>
      </c>
      <c r="B153" s="63" t="s">
        <v>323</v>
      </c>
      <c r="C153" s="113" t="s">
        <v>324</v>
      </c>
      <c r="D153" s="106" t="s">
        <v>325</v>
      </c>
      <c r="E153" s="106">
        <v>6</v>
      </c>
      <c r="F153" s="97">
        <v>6.68</v>
      </c>
      <c r="G153" s="72">
        <f>F153-F153*$I$1/100</f>
        <v>6.68</v>
      </c>
      <c r="H153" s="68"/>
      <c r="I153" s="69">
        <f t="shared" si="8"/>
        <v>0</v>
      </c>
      <c r="J153" s="50">
        <f>H153*0.9983</f>
        <v>0</v>
      </c>
      <c r="K153" s="51">
        <f>H153*1</f>
        <v>0</v>
      </c>
      <c r="L153" s="24"/>
      <c r="M153" s="73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s="9" customFormat="1" ht="12.75">
      <c r="A154" s="62">
        <v>4607116120873</v>
      </c>
      <c r="B154" s="63" t="s">
        <v>326</v>
      </c>
      <c r="C154" s="105" t="s">
        <v>327</v>
      </c>
      <c r="D154" s="106" t="s">
        <v>328</v>
      </c>
      <c r="E154" s="106">
        <v>6</v>
      </c>
      <c r="F154" s="97">
        <v>9</v>
      </c>
      <c r="G154" s="72">
        <f>F154-F154*$I$1/100</f>
        <v>9</v>
      </c>
      <c r="H154" s="68"/>
      <c r="I154" s="69">
        <f t="shared" si="8"/>
        <v>0</v>
      </c>
      <c r="J154" s="50">
        <f>H154*1.15</f>
        <v>0</v>
      </c>
      <c r="K154" s="51">
        <f>H154*1</f>
        <v>0</v>
      </c>
      <c r="L154" s="116"/>
      <c r="M154" s="7"/>
      <c r="N154" s="7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s="9" customFormat="1" ht="19.5" customHeight="1">
      <c r="A155" s="42">
        <v>4607116121009</v>
      </c>
      <c r="B155" s="43" t="s">
        <v>329</v>
      </c>
      <c r="C155" s="117" t="s">
        <v>330</v>
      </c>
      <c r="D155" s="118" t="s">
        <v>331</v>
      </c>
      <c r="E155" s="119">
        <v>4</v>
      </c>
      <c r="F155" s="120">
        <v>0</v>
      </c>
      <c r="G155" s="115">
        <f>F155-F155*$I$1/100</f>
        <v>0</v>
      </c>
      <c r="H155" s="48"/>
      <c r="I155" s="49">
        <f t="shared" si="8"/>
        <v>0</v>
      </c>
      <c r="J155" s="50">
        <f>H155*0.375</f>
        <v>0</v>
      </c>
      <c r="K155" s="51">
        <f>H155*0.25</f>
        <v>0</v>
      </c>
      <c r="L155" s="24" t="s">
        <v>16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ht="13.5">
      <c r="A156" s="32" t="s">
        <v>332</v>
      </c>
      <c r="B156" s="32"/>
      <c r="C156" s="32"/>
      <c r="D156" s="32"/>
      <c r="E156" s="32"/>
      <c r="F156" s="32"/>
      <c r="G156" s="32"/>
      <c r="H156" s="32"/>
      <c r="I156" s="87"/>
      <c r="J156" s="88"/>
      <c r="K156" s="89"/>
      <c r="L156" s="24"/>
      <c r="M156" s="80"/>
      <c r="N156" s="8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>
      <c r="A157" s="42">
        <v>4607116123270</v>
      </c>
      <c r="B157" s="43" t="s">
        <v>333</v>
      </c>
      <c r="C157" s="114" t="s">
        <v>334</v>
      </c>
      <c r="D157" s="45" t="s">
        <v>335</v>
      </c>
      <c r="E157" s="45">
        <v>6</v>
      </c>
      <c r="F157" s="46">
        <v>0</v>
      </c>
      <c r="G157" s="121">
        <f>F157-F157*$I$1/100</f>
        <v>0</v>
      </c>
      <c r="H157" s="48"/>
      <c r="I157" s="122">
        <f aca="true" t="shared" si="9" ref="I157:I167">G157*H157</f>
        <v>0</v>
      </c>
      <c r="J157" s="101">
        <f>H157*0.8983</f>
        <v>0</v>
      </c>
      <c r="K157" s="51">
        <f>H157*0.75</f>
        <v>0</v>
      </c>
      <c r="L157" s="24" t="s">
        <v>16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2.75">
      <c r="A158" s="62">
        <v>4607116126998</v>
      </c>
      <c r="B158" s="63" t="s">
        <v>336</v>
      </c>
      <c r="C158" s="64" t="s">
        <v>337</v>
      </c>
      <c r="D158" s="65" t="s">
        <v>335</v>
      </c>
      <c r="E158" s="65">
        <v>6</v>
      </c>
      <c r="F158" s="66">
        <v>9.29</v>
      </c>
      <c r="G158" s="74">
        <f>F158-F158*$I$1/100</f>
        <v>9.29</v>
      </c>
      <c r="H158" s="68"/>
      <c r="I158" s="98">
        <f t="shared" si="9"/>
        <v>0</v>
      </c>
      <c r="J158" s="101">
        <f>0.903*H158</f>
        <v>0</v>
      </c>
      <c r="K158" s="51">
        <f>H158*0.75</f>
        <v>0</v>
      </c>
      <c r="L158" s="2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2.75">
      <c r="A159" s="62">
        <v>4607116123676</v>
      </c>
      <c r="B159" s="63" t="s">
        <v>338</v>
      </c>
      <c r="C159" s="107" t="s">
        <v>339</v>
      </c>
      <c r="D159" s="65" t="s">
        <v>335</v>
      </c>
      <c r="E159" s="65">
        <v>6</v>
      </c>
      <c r="F159" s="66">
        <v>7.54</v>
      </c>
      <c r="G159" s="74">
        <f>F159-F159*$I$1/100</f>
        <v>7.54</v>
      </c>
      <c r="H159" s="68"/>
      <c r="I159" s="98">
        <f t="shared" si="9"/>
        <v>0</v>
      </c>
      <c r="J159" s="101">
        <f>H159*1.0483</f>
        <v>0</v>
      </c>
      <c r="K159" s="51">
        <f>H159*0.75</f>
        <v>0</v>
      </c>
      <c r="L159" s="2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>
      <c r="A160" s="62">
        <v>4607116123669</v>
      </c>
      <c r="B160" s="63" t="s">
        <v>338</v>
      </c>
      <c r="C160" s="107" t="s">
        <v>340</v>
      </c>
      <c r="D160" s="65" t="s">
        <v>335</v>
      </c>
      <c r="E160" s="65">
        <v>6</v>
      </c>
      <c r="F160" s="66">
        <v>7.54</v>
      </c>
      <c r="G160" s="74">
        <f>F160-F160*$I$1/100</f>
        <v>7.54</v>
      </c>
      <c r="H160" s="68"/>
      <c r="I160" s="98">
        <f t="shared" si="9"/>
        <v>0</v>
      </c>
      <c r="J160" s="101">
        <f>H160*1.0483</f>
        <v>0</v>
      </c>
      <c r="K160" s="51">
        <f>H160*0.75</f>
        <v>0</v>
      </c>
      <c r="L160" s="2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>
      <c r="A161" s="62">
        <v>4607116123652</v>
      </c>
      <c r="B161" s="63" t="s">
        <v>338</v>
      </c>
      <c r="C161" s="107" t="s">
        <v>341</v>
      </c>
      <c r="D161" s="65" t="s">
        <v>335</v>
      </c>
      <c r="E161" s="65">
        <v>6</v>
      </c>
      <c r="F161" s="66">
        <v>7.54</v>
      </c>
      <c r="G161" s="74">
        <f>F161-F161*$I$1/100</f>
        <v>7.54</v>
      </c>
      <c r="H161" s="68"/>
      <c r="I161" s="98">
        <f t="shared" si="9"/>
        <v>0</v>
      </c>
      <c r="J161" s="101">
        <f>H161*1.0483</f>
        <v>0</v>
      </c>
      <c r="K161" s="51">
        <f>H161*0.75</f>
        <v>0</v>
      </c>
      <c r="L161" s="2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s="14" customFormat="1" ht="12.75">
      <c r="A162" s="62">
        <v>4607116124765</v>
      </c>
      <c r="B162" s="63" t="s">
        <v>342</v>
      </c>
      <c r="C162" s="64" t="s">
        <v>343</v>
      </c>
      <c r="D162" s="70" t="s">
        <v>63</v>
      </c>
      <c r="E162" s="70">
        <v>12</v>
      </c>
      <c r="F162" s="84">
        <v>2.59</v>
      </c>
      <c r="G162" s="85">
        <f>F162-F162*$I$1/100</f>
        <v>2.59</v>
      </c>
      <c r="H162" s="68"/>
      <c r="I162" s="98">
        <f t="shared" si="9"/>
        <v>0</v>
      </c>
      <c r="J162" s="101">
        <f>H162*0.38417</f>
        <v>0</v>
      </c>
      <c r="K162" s="51">
        <f>H162*0.4</f>
        <v>0</v>
      </c>
      <c r="L162" s="24"/>
      <c r="M162" s="1"/>
      <c r="N162" s="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s="14" customFormat="1" ht="12.75">
      <c r="A163" s="62">
        <v>4607116124758</v>
      </c>
      <c r="B163" s="63" t="s">
        <v>342</v>
      </c>
      <c r="C163" s="64" t="s">
        <v>344</v>
      </c>
      <c r="D163" s="70" t="s">
        <v>63</v>
      </c>
      <c r="E163" s="70">
        <v>12</v>
      </c>
      <c r="F163" s="84">
        <v>2.59</v>
      </c>
      <c r="G163" s="85">
        <f>F163-F163*$I$1/100</f>
        <v>2.59</v>
      </c>
      <c r="H163" s="68"/>
      <c r="I163" s="98">
        <f t="shared" si="9"/>
        <v>0</v>
      </c>
      <c r="J163" s="101">
        <f>H163*0.38417</f>
        <v>0</v>
      </c>
      <c r="K163" s="51">
        <f>H163*0.4</f>
        <v>0</v>
      </c>
      <c r="L163" s="24"/>
      <c r="M163" s="1"/>
      <c r="N163" s="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s="14" customFormat="1" ht="12.75">
      <c r="A164" s="62">
        <v>4607116124772</v>
      </c>
      <c r="B164" s="63" t="s">
        <v>342</v>
      </c>
      <c r="C164" s="64" t="s">
        <v>345</v>
      </c>
      <c r="D164" s="70" t="s">
        <v>63</v>
      </c>
      <c r="E164" s="70">
        <v>12</v>
      </c>
      <c r="F164" s="84">
        <v>2.59</v>
      </c>
      <c r="G164" s="85">
        <f>F164-F164*$I$1/100</f>
        <v>2.59</v>
      </c>
      <c r="H164" s="68"/>
      <c r="I164" s="98">
        <f t="shared" si="9"/>
        <v>0</v>
      </c>
      <c r="J164" s="101">
        <f>H164*0.38417</f>
        <v>0</v>
      </c>
      <c r="K164" s="51">
        <f>H164*0.4</f>
        <v>0</v>
      </c>
      <c r="L164" s="24"/>
      <c r="M164" s="1"/>
      <c r="N164" s="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s="9" customFormat="1" ht="12.75">
      <c r="A165" s="62">
        <v>4607116121320</v>
      </c>
      <c r="B165" s="63" t="s">
        <v>346</v>
      </c>
      <c r="C165" s="64" t="s">
        <v>347</v>
      </c>
      <c r="D165" s="70" t="s">
        <v>348</v>
      </c>
      <c r="E165" s="70">
        <v>6</v>
      </c>
      <c r="F165" s="84">
        <v>3.99</v>
      </c>
      <c r="G165" s="72">
        <f>F165-F165*$I$1/100</f>
        <v>3.99</v>
      </c>
      <c r="H165" s="68"/>
      <c r="I165" s="98">
        <f t="shared" si="9"/>
        <v>0</v>
      </c>
      <c r="J165" s="101">
        <f>H165*0.625</f>
        <v>0</v>
      </c>
      <c r="K165" s="51">
        <f>H165*0.5</f>
        <v>0</v>
      </c>
      <c r="L165" s="24"/>
      <c r="M165" s="7"/>
      <c r="N165" s="7"/>
      <c r="O165" s="123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s="9" customFormat="1" ht="12.75">
      <c r="A166" s="62">
        <v>4607116121214</v>
      </c>
      <c r="B166" s="63" t="s">
        <v>349</v>
      </c>
      <c r="C166" s="64" t="s">
        <v>350</v>
      </c>
      <c r="D166" s="65" t="s">
        <v>63</v>
      </c>
      <c r="E166" s="65">
        <v>12</v>
      </c>
      <c r="F166" s="66">
        <v>2.54</v>
      </c>
      <c r="G166" s="72">
        <f>F166-F166*$I$1/100</f>
        <v>2.54</v>
      </c>
      <c r="H166" s="68"/>
      <c r="I166" s="98">
        <f t="shared" si="9"/>
        <v>0</v>
      </c>
      <c r="J166" s="101">
        <f>H166*0.38417</f>
        <v>0</v>
      </c>
      <c r="K166" s="51">
        <f>H166*0.4</f>
        <v>0</v>
      </c>
      <c r="L166" s="24"/>
      <c r="M166" s="1"/>
      <c r="N166" s="1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s="14" customFormat="1" ht="12.75">
      <c r="A167" s="62">
        <v>4607116121207</v>
      </c>
      <c r="B167" s="63" t="s">
        <v>351</v>
      </c>
      <c r="C167" s="83" t="s">
        <v>352</v>
      </c>
      <c r="D167" s="70" t="s">
        <v>63</v>
      </c>
      <c r="E167" s="70">
        <v>12</v>
      </c>
      <c r="F167" s="84">
        <v>2.72</v>
      </c>
      <c r="G167" s="85">
        <f>F167-F167*$I$1/100</f>
        <v>2.72</v>
      </c>
      <c r="H167" s="68"/>
      <c r="I167" s="98">
        <f t="shared" si="9"/>
        <v>0</v>
      </c>
      <c r="J167" s="101">
        <f>H167*0.38417</f>
        <v>0</v>
      </c>
      <c r="K167" s="51">
        <f>H167*0.4</f>
        <v>0</v>
      </c>
      <c r="L167" s="24"/>
      <c r="M167" s="1"/>
      <c r="N167" s="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3.5">
      <c r="A168" s="32" t="s">
        <v>353</v>
      </c>
      <c r="B168" s="32"/>
      <c r="C168" s="32"/>
      <c r="D168" s="32"/>
      <c r="E168" s="32"/>
      <c r="F168" s="32"/>
      <c r="G168" s="32"/>
      <c r="H168" s="32"/>
      <c r="I168" s="87"/>
      <c r="J168" s="88"/>
      <c r="K168" s="89"/>
      <c r="L168" s="24"/>
      <c r="M168" s="80"/>
      <c r="N168" s="8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s="9" customFormat="1" ht="13.5">
      <c r="A169" s="62">
        <v>4607116120293</v>
      </c>
      <c r="B169" s="63" t="s">
        <v>354</v>
      </c>
      <c r="C169" s="105" t="s">
        <v>355</v>
      </c>
      <c r="D169" s="106" t="s">
        <v>356</v>
      </c>
      <c r="E169" s="106">
        <v>6</v>
      </c>
      <c r="F169" s="97">
        <v>2.6</v>
      </c>
      <c r="G169" s="72">
        <f>F169-F169*$I$1/100</f>
        <v>2.6</v>
      </c>
      <c r="H169" s="124"/>
      <c r="I169" s="98">
        <f aca="true" t="shared" si="10" ref="I169:I212">G169*H169</f>
        <v>0</v>
      </c>
      <c r="J169" s="101">
        <f>H169*0.325</f>
        <v>0</v>
      </c>
      <c r="K169" s="51">
        <f>H169*0.2</f>
        <v>0</v>
      </c>
      <c r="L169" s="24"/>
      <c r="M169" s="8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s="9" customFormat="1" ht="13.5">
      <c r="A170" s="62">
        <v>4607116127216</v>
      </c>
      <c r="B170" s="63" t="s">
        <v>357</v>
      </c>
      <c r="C170" s="105" t="s">
        <v>358</v>
      </c>
      <c r="D170" s="106" t="s">
        <v>107</v>
      </c>
      <c r="E170" s="106">
        <v>6</v>
      </c>
      <c r="F170" s="97">
        <v>12.51</v>
      </c>
      <c r="G170" s="72">
        <f>F170-F170*$I$1/100</f>
        <v>12.51</v>
      </c>
      <c r="H170" s="124"/>
      <c r="I170" s="98">
        <f t="shared" si="10"/>
        <v>0</v>
      </c>
      <c r="J170" s="101">
        <f>1.05*H170</f>
        <v>0</v>
      </c>
      <c r="K170" s="51">
        <f>H170*1</f>
        <v>0</v>
      </c>
      <c r="L170" s="24"/>
      <c r="M170" s="8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s="9" customFormat="1" ht="12.75">
      <c r="A171" s="62">
        <v>4607116120217</v>
      </c>
      <c r="B171" s="63" t="s">
        <v>359</v>
      </c>
      <c r="C171" s="105" t="s">
        <v>360</v>
      </c>
      <c r="D171" s="106" t="s">
        <v>53</v>
      </c>
      <c r="E171" s="106">
        <v>6</v>
      </c>
      <c r="F171" s="97">
        <v>3.23</v>
      </c>
      <c r="G171" s="72">
        <f>F171-F171*$I$1/100</f>
        <v>3.23</v>
      </c>
      <c r="H171" s="124"/>
      <c r="I171" s="125">
        <f t="shared" si="10"/>
        <v>0</v>
      </c>
      <c r="J171" s="101">
        <f>H171*0.759</f>
        <v>0</v>
      </c>
      <c r="K171" s="51">
        <f>H171*0.8</f>
        <v>0</v>
      </c>
      <c r="L171" s="24"/>
      <c r="M171" s="7"/>
      <c r="N171" s="7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ht="12.75">
      <c r="A172" s="62">
        <v>4607116121689</v>
      </c>
      <c r="B172" s="63" t="s">
        <v>361</v>
      </c>
      <c r="C172" s="105" t="s">
        <v>362</v>
      </c>
      <c r="D172" s="106" t="s">
        <v>363</v>
      </c>
      <c r="E172" s="106">
        <v>6</v>
      </c>
      <c r="F172" s="97">
        <v>3.21</v>
      </c>
      <c r="G172" s="72">
        <f>F172-F172*$I$1/100</f>
        <v>3.21</v>
      </c>
      <c r="H172" s="124"/>
      <c r="I172" s="125">
        <f t="shared" si="10"/>
        <v>0</v>
      </c>
      <c r="J172" s="101">
        <f>H172*0.2125</f>
        <v>0</v>
      </c>
      <c r="K172" s="51">
        <f>H172*0.16</f>
        <v>0</v>
      </c>
      <c r="L172" s="2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>
      <c r="A173" s="62">
        <v>4607116120583</v>
      </c>
      <c r="B173" s="63" t="s">
        <v>364</v>
      </c>
      <c r="C173" s="105" t="s">
        <v>365</v>
      </c>
      <c r="D173" s="106" t="s">
        <v>366</v>
      </c>
      <c r="E173" s="106">
        <v>6</v>
      </c>
      <c r="F173" s="97">
        <v>2.28</v>
      </c>
      <c r="G173" s="72">
        <f>F173-F173*$I$1/100</f>
        <v>2.28</v>
      </c>
      <c r="H173" s="124"/>
      <c r="I173" s="125">
        <f t="shared" si="10"/>
        <v>0</v>
      </c>
      <c r="J173" s="101">
        <f>H173*0.2225</f>
        <v>0</v>
      </c>
      <c r="K173" s="51">
        <f>H173*0.17</f>
        <v>0</v>
      </c>
      <c r="L173" s="2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>
      <c r="A174" s="62">
        <v>4607116120255</v>
      </c>
      <c r="B174" s="63" t="s">
        <v>367</v>
      </c>
      <c r="C174" s="105" t="s">
        <v>368</v>
      </c>
      <c r="D174" s="106" t="s">
        <v>369</v>
      </c>
      <c r="E174" s="106">
        <v>6</v>
      </c>
      <c r="F174" s="97">
        <v>3.33</v>
      </c>
      <c r="G174" s="72">
        <f>F174-F174*$I$1/100</f>
        <v>3.33</v>
      </c>
      <c r="H174" s="124"/>
      <c r="I174" s="125">
        <f t="shared" si="10"/>
        <v>0</v>
      </c>
      <c r="J174" s="101">
        <f>H174*0.4208</f>
        <v>0</v>
      </c>
      <c r="K174" s="51">
        <f>H174*0.34</f>
        <v>0</v>
      </c>
      <c r="L174" s="2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>
      <c r="A175" s="62">
        <v>4607116121191</v>
      </c>
      <c r="B175" s="63" t="s">
        <v>370</v>
      </c>
      <c r="C175" s="105" t="s">
        <v>371</v>
      </c>
      <c r="D175" s="106" t="s">
        <v>356</v>
      </c>
      <c r="E175" s="106">
        <v>6</v>
      </c>
      <c r="F175" s="97">
        <v>2.39</v>
      </c>
      <c r="G175" s="72">
        <f>F175-F175*$I$1/100</f>
        <v>2.39</v>
      </c>
      <c r="H175" s="124"/>
      <c r="I175" s="125">
        <f t="shared" si="10"/>
        <v>0</v>
      </c>
      <c r="J175" s="101">
        <f>H175*0.2525</f>
        <v>0</v>
      </c>
      <c r="K175" s="51">
        <f>H175*0.2</f>
        <v>0</v>
      </c>
      <c r="L175" s="24"/>
      <c r="M175" s="8"/>
      <c r="N175" s="8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s="13" customFormat="1" ht="12.75">
      <c r="A176" s="62">
        <v>4607116123485</v>
      </c>
      <c r="B176" s="81" t="s">
        <v>372</v>
      </c>
      <c r="C176" s="83" t="s">
        <v>373</v>
      </c>
      <c r="D176" s="70" t="s">
        <v>107</v>
      </c>
      <c r="E176" s="70">
        <v>6</v>
      </c>
      <c r="F176" s="84">
        <v>8.94</v>
      </c>
      <c r="G176" s="85">
        <f>F176-F176*$I$1/100</f>
        <v>8.94</v>
      </c>
      <c r="H176" s="126"/>
      <c r="I176" s="125">
        <f t="shared" si="10"/>
        <v>0</v>
      </c>
      <c r="J176" s="101">
        <f>H176*1.115</f>
        <v>0</v>
      </c>
      <c r="K176" s="51">
        <f>H176*1</f>
        <v>0</v>
      </c>
      <c r="L176" s="24"/>
      <c r="M176" s="11"/>
      <c r="N176" s="11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3.5">
      <c r="A177" s="62">
        <v>4607116120279</v>
      </c>
      <c r="B177" s="63" t="s">
        <v>374</v>
      </c>
      <c r="C177" s="105" t="s">
        <v>375</v>
      </c>
      <c r="D177" s="106" t="s">
        <v>363</v>
      </c>
      <c r="E177" s="106">
        <v>6</v>
      </c>
      <c r="F177" s="97">
        <v>2.39</v>
      </c>
      <c r="G177" s="72">
        <f>F177-F177*$I$1/100</f>
        <v>2.39</v>
      </c>
      <c r="H177" s="124"/>
      <c r="I177" s="125">
        <f t="shared" si="10"/>
        <v>0</v>
      </c>
      <c r="J177" s="101">
        <f>H177*0.2175</f>
        <v>0</v>
      </c>
      <c r="K177" s="51">
        <f>H177*0.16</f>
        <v>0</v>
      </c>
      <c r="L177" s="24"/>
      <c r="M177" s="73"/>
      <c r="N177" s="8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s="9" customFormat="1" ht="12.75">
      <c r="A178" s="62">
        <v>4607116121177</v>
      </c>
      <c r="B178" s="63" t="s">
        <v>376</v>
      </c>
      <c r="C178" s="105" t="s">
        <v>377</v>
      </c>
      <c r="D178" s="106" t="s">
        <v>74</v>
      </c>
      <c r="E178" s="106">
        <v>6</v>
      </c>
      <c r="F178" s="97">
        <v>5.83</v>
      </c>
      <c r="G178" s="72">
        <f>F178-F178*$I$1/100</f>
        <v>5.83</v>
      </c>
      <c r="H178" s="124"/>
      <c r="I178" s="125">
        <f t="shared" si="10"/>
        <v>0</v>
      </c>
      <c r="J178" s="101">
        <f>H178*0.581</f>
        <v>0</v>
      </c>
      <c r="K178" s="51">
        <f>H178*0.5</f>
        <v>0</v>
      </c>
      <c r="L178" s="24"/>
      <c r="M178" s="127"/>
      <c r="N178" s="127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ht="12.75">
      <c r="A179" s="62">
        <v>4607116124871</v>
      </c>
      <c r="B179" s="63" t="s">
        <v>378</v>
      </c>
      <c r="C179" s="105" t="s">
        <v>379</v>
      </c>
      <c r="D179" s="106" t="s">
        <v>356</v>
      </c>
      <c r="E179" s="106">
        <v>6</v>
      </c>
      <c r="F179" s="97">
        <v>2.88</v>
      </c>
      <c r="G179" s="72">
        <f>F179-F179*$I$1/100</f>
        <v>2.88</v>
      </c>
      <c r="H179" s="124"/>
      <c r="I179" s="125">
        <f t="shared" si="10"/>
        <v>0</v>
      </c>
      <c r="J179" s="101">
        <f>H179*0.2625</f>
        <v>0</v>
      </c>
      <c r="K179" s="51">
        <f>H179*0.2</f>
        <v>0</v>
      </c>
      <c r="L179" s="2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s="16" customFormat="1" ht="12.75">
      <c r="A180" s="62">
        <v>4607116125670</v>
      </c>
      <c r="B180" s="63" t="s">
        <v>380</v>
      </c>
      <c r="C180" s="107" t="s">
        <v>381</v>
      </c>
      <c r="D180" s="106" t="s">
        <v>382</v>
      </c>
      <c r="E180" s="106">
        <v>6</v>
      </c>
      <c r="F180" s="97">
        <v>4.93</v>
      </c>
      <c r="G180" s="72">
        <f>F180-F180*$I$1/100</f>
        <v>4.93</v>
      </c>
      <c r="H180" s="124"/>
      <c r="I180" s="125">
        <f t="shared" si="10"/>
        <v>0</v>
      </c>
      <c r="J180" s="99">
        <f>H180*0.3</f>
        <v>0</v>
      </c>
      <c r="K180" s="100">
        <f>H180*0.25</f>
        <v>0</v>
      </c>
      <c r="L180" s="24"/>
      <c r="M180" s="8"/>
      <c r="N180" s="8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15"/>
      <c r="AQ180" s="15"/>
    </row>
    <row r="181" spans="1:43" s="16" customFormat="1" ht="12.75">
      <c r="A181" s="62">
        <v>4607116124840</v>
      </c>
      <c r="B181" s="63" t="s">
        <v>383</v>
      </c>
      <c r="C181" s="107" t="s">
        <v>384</v>
      </c>
      <c r="D181" s="106" t="s">
        <v>74</v>
      </c>
      <c r="E181" s="106">
        <v>6</v>
      </c>
      <c r="F181" s="97">
        <v>7.79</v>
      </c>
      <c r="G181" s="72">
        <f>F181-F181*$I$1/100</f>
        <v>7.79</v>
      </c>
      <c r="H181" s="124"/>
      <c r="I181" s="125">
        <f t="shared" si="10"/>
        <v>0</v>
      </c>
      <c r="J181" s="99">
        <f>H181*0.571</f>
        <v>0</v>
      </c>
      <c r="K181" s="100">
        <f>H181*0.5</f>
        <v>0</v>
      </c>
      <c r="L181" s="24"/>
      <c r="M181" s="12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15"/>
      <c r="AQ181" s="15"/>
    </row>
    <row r="182" spans="1:43" s="16" customFormat="1" ht="12.75">
      <c r="A182" s="62">
        <v>4607116125304</v>
      </c>
      <c r="B182" s="63" t="s">
        <v>385</v>
      </c>
      <c r="C182" s="107" t="s">
        <v>386</v>
      </c>
      <c r="D182" s="106" t="s">
        <v>387</v>
      </c>
      <c r="E182" s="106">
        <v>2</v>
      </c>
      <c r="F182" s="97">
        <v>37.34</v>
      </c>
      <c r="G182" s="72">
        <f>F182-F182*$I$1/100</f>
        <v>37.34</v>
      </c>
      <c r="H182" s="124"/>
      <c r="I182" s="125">
        <f t="shared" si="10"/>
        <v>0</v>
      </c>
      <c r="J182" s="99">
        <f>H182*2.73</f>
        <v>0</v>
      </c>
      <c r="K182" s="100">
        <f>H182*2.5</f>
        <v>0</v>
      </c>
      <c r="L182" s="2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15"/>
      <c r="AQ182" s="15"/>
    </row>
    <row r="183" spans="1:43" s="9" customFormat="1" ht="13.5">
      <c r="A183" s="62">
        <v>4607116126646</v>
      </c>
      <c r="B183" s="63" t="s">
        <v>388</v>
      </c>
      <c r="C183" s="91" t="s">
        <v>389</v>
      </c>
      <c r="D183" s="106" t="s">
        <v>74</v>
      </c>
      <c r="E183" s="106">
        <v>6</v>
      </c>
      <c r="F183" s="97">
        <v>7.75</v>
      </c>
      <c r="G183" s="72">
        <f>F183-F183*$I$1/100</f>
        <v>7.75</v>
      </c>
      <c r="H183" s="124"/>
      <c r="I183" s="125">
        <f t="shared" si="10"/>
        <v>0</v>
      </c>
      <c r="J183" s="101">
        <f>H183*0.7166</f>
        <v>0</v>
      </c>
      <c r="K183" s="51">
        <f>H183*0.5</f>
        <v>0</v>
      </c>
      <c r="L183" s="129"/>
      <c r="M183" s="130"/>
      <c r="N183" s="7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s="9" customFormat="1" ht="13.5">
      <c r="A184" s="52">
        <v>4607116127278</v>
      </c>
      <c r="B184" s="53" t="s">
        <v>390</v>
      </c>
      <c r="C184" s="95" t="s">
        <v>391</v>
      </c>
      <c r="D184" s="110" t="s">
        <v>387</v>
      </c>
      <c r="E184" s="110">
        <v>2</v>
      </c>
      <c r="F184" s="111">
        <v>0</v>
      </c>
      <c r="G184" s="131">
        <f>F184-F184*$I$1/100</f>
        <v>0</v>
      </c>
      <c r="H184" s="132"/>
      <c r="I184" s="133">
        <f t="shared" si="10"/>
        <v>0</v>
      </c>
      <c r="J184" s="99">
        <f>2.817*H184</f>
        <v>0</v>
      </c>
      <c r="K184" s="100">
        <f>2.5*H184</f>
        <v>0</v>
      </c>
      <c r="L184" s="24" t="s">
        <v>16</v>
      </c>
      <c r="M184" s="130"/>
      <c r="N184" s="7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s="9" customFormat="1" ht="12.75">
      <c r="A185" s="62">
        <v>4607116123331</v>
      </c>
      <c r="B185" s="63" t="s">
        <v>392</v>
      </c>
      <c r="C185" s="105" t="s">
        <v>393</v>
      </c>
      <c r="D185" s="106" t="s">
        <v>382</v>
      </c>
      <c r="E185" s="106">
        <v>6</v>
      </c>
      <c r="F185" s="97">
        <v>5.09</v>
      </c>
      <c r="G185" s="72">
        <f>F185-F185*$I$1/100</f>
        <v>5.09</v>
      </c>
      <c r="H185" s="124"/>
      <c r="I185" s="125">
        <f t="shared" si="10"/>
        <v>0</v>
      </c>
      <c r="J185" s="99">
        <f>H185*0.3025</f>
        <v>0</v>
      </c>
      <c r="K185" s="100">
        <f>H185*0.25</f>
        <v>0</v>
      </c>
      <c r="L185" s="24"/>
      <c r="M185" s="123"/>
      <c r="N185" s="123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s="9" customFormat="1" ht="13.5">
      <c r="A186" s="62">
        <v>4607116120316</v>
      </c>
      <c r="B186" s="63" t="s">
        <v>394</v>
      </c>
      <c r="C186" s="105" t="s">
        <v>395</v>
      </c>
      <c r="D186" s="106" t="s">
        <v>74</v>
      </c>
      <c r="E186" s="106">
        <v>6</v>
      </c>
      <c r="F186" s="97">
        <v>7.75</v>
      </c>
      <c r="G186" s="72">
        <f>F186-F186*$I$1/100</f>
        <v>7.75</v>
      </c>
      <c r="H186" s="124"/>
      <c r="I186" s="125">
        <f t="shared" si="10"/>
        <v>0</v>
      </c>
      <c r="J186" s="99">
        <f>H186*0.7166</f>
        <v>0</v>
      </c>
      <c r="K186" s="100">
        <f>H186*0.5</f>
        <v>0</v>
      </c>
      <c r="L186" s="24"/>
      <c r="M186" s="80"/>
      <c r="N186" s="7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s="9" customFormat="1" ht="13.5">
      <c r="A187" s="62">
        <v>4607116120668</v>
      </c>
      <c r="B187" s="63" t="s">
        <v>396</v>
      </c>
      <c r="C187" s="105" t="s">
        <v>397</v>
      </c>
      <c r="D187" s="106" t="s">
        <v>387</v>
      </c>
      <c r="E187" s="106">
        <v>2</v>
      </c>
      <c r="F187" s="97">
        <v>37.28</v>
      </c>
      <c r="G187" s="72">
        <f>F187-F187*$I$1/100</f>
        <v>37.28</v>
      </c>
      <c r="H187" s="124"/>
      <c r="I187" s="125">
        <f t="shared" si="10"/>
        <v>0</v>
      </c>
      <c r="J187" s="101">
        <f>H187*2.75</f>
        <v>0</v>
      </c>
      <c r="K187" s="51">
        <f>H187*2.5</f>
        <v>0</v>
      </c>
      <c r="L187" s="24"/>
      <c r="M187" s="130"/>
      <c r="N187" s="7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s="9" customFormat="1" ht="13.5">
      <c r="A188" s="62">
        <v>4607116123324</v>
      </c>
      <c r="B188" s="63" t="s">
        <v>398</v>
      </c>
      <c r="C188" s="105" t="s">
        <v>399</v>
      </c>
      <c r="D188" s="106" t="s">
        <v>382</v>
      </c>
      <c r="E188" s="106">
        <v>6</v>
      </c>
      <c r="F188" s="97">
        <v>5.09</v>
      </c>
      <c r="G188" s="72">
        <f>F188-F188*$I$1/100</f>
        <v>5.09</v>
      </c>
      <c r="H188" s="124"/>
      <c r="I188" s="125">
        <f t="shared" si="10"/>
        <v>0</v>
      </c>
      <c r="J188" s="101">
        <f>H188*0.3025</f>
        <v>0</v>
      </c>
      <c r="K188" s="51">
        <f>H188*0.25</f>
        <v>0</v>
      </c>
      <c r="L188" s="24"/>
      <c r="M188" s="130"/>
      <c r="N188" s="7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s="9" customFormat="1" ht="13.5">
      <c r="A189" s="62">
        <v>4607116120231</v>
      </c>
      <c r="B189" s="63" t="s">
        <v>400</v>
      </c>
      <c r="C189" s="105" t="s">
        <v>401</v>
      </c>
      <c r="D189" s="106" t="s">
        <v>74</v>
      </c>
      <c r="E189" s="106">
        <v>6</v>
      </c>
      <c r="F189" s="97">
        <v>7.75</v>
      </c>
      <c r="G189" s="72">
        <f>F189-F189*$I$1/100</f>
        <v>7.75</v>
      </c>
      <c r="H189" s="124"/>
      <c r="I189" s="125">
        <f t="shared" si="10"/>
        <v>0</v>
      </c>
      <c r="J189" s="101">
        <f>H189*0.581</f>
        <v>0</v>
      </c>
      <c r="K189" s="51">
        <f>H189*0.5</f>
        <v>0</v>
      </c>
      <c r="L189" s="24"/>
      <c r="M189" s="130"/>
      <c r="N189" s="7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s="9" customFormat="1" ht="12.75">
      <c r="A190" s="62">
        <v>4607116120330</v>
      </c>
      <c r="B190" s="63" t="s">
        <v>402</v>
      </c>
      <c r="C190" s="105" t="s">
        <v>403</v>
      </c>
      <c r="D190" s="106" t="s">
        <v>387</v>
      </c>
      <c r="E190" s="106">
        <v>2</v>
      </c>
      <c r="F190" s="97">
        <v>37.28</v>
      </c>
      <c r="G190" s="72">
        <f>F190-F190*$I$1/100</f>
        <v>37.28</v>
      </c>
      <c r="H190" s="124"/>
      <c r="I190" s="125">
        <f t="shared" si="10"/>
        <v>0</v>
      </c>
      <c r="J190" s="101">
        <f>H190*2.75</f>
        <v>0</v>
      </c>
      <c r="K190" s="51">
        <f>H190*2.5</f>
        <v>0</v>
      </c>
      <c r="L190" s="24"/>
      <c r="M190" s="134"/>
      <c r="N190" s="7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s="9" customFormat="1" ht="13.5">
      <c r="A191" s="62">
        <v>4607116121382</v>
      </c>
      <c r="B191" s="63" t="s">
        <v>404</v>
      </c>
      <c r="C191" s="83" t="s">
        <v>405</v>
      </c>
      <c r="D191" s="70" t="s">
        <v>382</v>
      </c>
      <c r="E191" s="70">
        <v>6</v>
      </c>
      <c r="F191" s="84">
        <v>4.22</v>
      </c>
      <c r="G191" s="72">
        <f>F191-F191*$I$1/100</f>
        <v>4.22</v>
      </c>
      <c r="H191" s="124"/>
      <c r="I191" s="125">
        <f t="shared" si="10"/>
        <v>0</v>
      </c>
      <c r="J191" s="101">
        <f>H191*0.293</f>
        <v>0</v>
      </c>
      <c r="K191" s="51">
        <f>H191*0.25</f>
        <v>0</v>
      </c>
      <c r="L191" s="24"/>
      <c r="M191" s="8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s="9" customFormat="1" ht="13.5">
      <c r="A192" s="62">
        <v>4607116121375</v>
      </c>
      <c r="B192" s="63" t="s">
        <v>406</v>
      </c>
      <c r="C192" s="83" t="s">
        <v>407</v>
      </c>
      <c r="D192" s="70" t="s">
        <v>74</v>
      </c>
      <c r="E192" s="70">
        <v>6</v>
      </c>
      <c r="F192" s="84">
        <v>6.49</v>
      </c>
      <c r="G192" s="72">
        <f>F192-F192*$I$1/100</f>
        <v>6.49</v>
      </c>
      <c r="H192" s="124"/>
      <c r="I192" s="98">
        <f t="shared" si="10"/>
        <v>0</v>
      </c>
      <c r="J192" s="101">
        <f>H192*0.561</f>
        <v>0</v>
      </c>
      <c r="K192" s="51">
        <f>H192*0.5</f>
        <v>0</v>
      </c>
      <c r="L192" s="24"/>
      <c r="M192" s="8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s="9" customFormat="1" ht="13.5">
      <c r="A193" s="62">
        <v>4607116122891</v>
      </c>
      <c r="B193" s="63" t="s">
        <v>408</v>
      </c>
      <c r="C193" s="83" t="s">
        <v>409</v>
      </c>
      <c r="D193" s="70" t="s">
        <v>387</v>
      </c>
      <c r="E193" s="70">
        <v>2</v>
      </c>
      <c r="F193" s="84">
        <v>31.1</v>
      </c>
      <c r="G193" s="72">
        <f>F193-F193*$I$1/100</f>
        <v>31.1</v>
      </c>
      <c r="H193" s="124"/>
      <c r="I193" s="98">
        <f t="shared" si="10"/>
        <v>0</v>
      </c>
      <c r="J193" s="101">
        <f>H193*2.683</f>
        <v>0</v>
      </c>
      <c r="K193" s="51">
        <f>H193*2.5</f>
        <v>0</v>
      </c>
      <c r="L193" s="24"/>
      <c r="M193" s="8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s="9" customFormat="1" ht="13.5">
      <c r="A194" s="62">
        <v>4607116120569</v>
      </c>
      <c r="B194" s="63" t="s">
        <v>410</v>
      </c>
      <c r="C194" s="105" t="s">
        <v>411</v>
      </c>
      <c r="D194" s="106" t="s">
        <v>366</v>
      </c>
      <c r="E194" s="106">
        <v>6</v>
      </c>
      <c r="F194" s="97">
        <v>4.78</v>
      </c>
      <c r="G194" s="72">
        <f>F194-F194*$I$1/100</f>
        <v>4.78</v>
      </c>
      <c r="H194" s="124"/>
      <c r="I194" s="98">
        <f t="shared" si="10"/>
        <v>0</v>
      </c>
      <c r="J194" s="101">
        <f>H194*0.233</f>
        <v>0</v>
      </c>
      <c r="K194" s="51">
        <f>H194*0.17</f>
        <v>0</v>
      </c>
      <c r="L194" s="24"/>
      <c r="M194" s="8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ht="12.75">
      <c r="A195" s="62">
        <v>4607116120705</v>
      </c>
      <c r="B195" s="63" t="s">
        <v>412</v>
      </c>
      <c r="C195" s="105" t="s">
        <v>413</v>
      </c>
      <c r="D195" s="106" t="s">
        <v>74</v>
      </c>
      <c r="E195" s="106">
        <v>6</v>
      </c>
      <c r="F195" s="97">
        <v>7.74</v>
      </c>
      <c r="G195" s="72">
        <f>F195-F195*$I$1/100</f>
        <v>7.74</v>
      </c>
      <c r="H195" s="124"/>
      <c r="I195" s="98">
        <f t="shared" si="10"/>
        <v>0</v>
      </c>
      <c r="J195" s="101">
        <f>H195*0.581</f>
        <v>0</v>
      </c>
      <c r="K195" s="51">
        <f>H195*0.5</f>
        <v>0</v>
      </c>
      <c r="L195" s="24"/>
      <c r="M195" s="8"/>
      <c r="N195" s="8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3.5">
      <c r="A196" s="62">
        <v>4607116121306</v>
      </c>
      <c r="B196" s="63" t="s">
        <v>414</v>
      </c>
      <c r="C196" s="105" t="s">
        <v>415</v>
      </c>
      <c r="D196" s="106" t="s">
        <v>387</v>
      </c>
      <c r="E196" s="106">
        <v>2</v>
      </c>
      <c r="F196" s="97">
        <v>37.21</v>
      </c>
      <c r="G196" s="72">
        <f>F196-F196*$I$1/100</f>
        <v>37.21</v>
      </c>
      <c r="H196" s="77"/>
      <c r="I196" s="98">
        <f t="shared" si="10"/>
        <v>0</v>
      </c>
      <c r="J196" s="135">
        <f>H196*2.783</f>
        <v>0</v>
      </c>
      <c r="K196" s="136">
        <f>H196*2.5</f>
        <v>0</v>
      </c>
      <c r="L196" s="24"/>
      <c r="M196" s="80"/>
      <c r="N196" s="8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>
      <c r="A197" s="62">
        <v>4607116121610</v>
      </c>
      <c r="B197" s="63" t="s">
        <v>416</v>
      </c>
      <c r="C197" s="105" t="s">
        <v>417</v>
      </c>
      <c r="D197" s="106" t="s">
        <v>418</v>
      </c>
      <c r="E197" s="106">
        <v>6</v>
      </c>
      <c r="F197" s="84">
        <v>4.32</v>
      </c>
      <c r="G197" s="72">
        <f>F197-F197*$I$1/100</f>
        <v>4.32</v>
      </c>
      <c r="H197" s="124"/>
      <c r="I197" s="98">
        <f t="shared" si="10"/>
        <v>0</v>
      </c>
      <c r="J197" s="101">
        <f>H197*0.25</f>
        <v>0</v>
      </c>
      <c r="K197" s="51">
        <f>H197*0.2</f>
        <v>0</v>
      </c>
      <c r="L197" s="24"/>
      <c r="M197" s="127"/>
      <c r="N197" s="12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>
      <c r="A198" s="62">
        <v>4607116126301</v>
      </c>
      <c r="B198" s="63" t="s">
        <v>419</v>
      </c>
      <c r="C198" s="105" t="s">
        <v>420</v>
      </c>
      <c r="D198" s="106" t="s">
        <v>105</v>
      </c>
      <c r="E198" s="106">
        <v>6</v>
      </c>
      <c r="F198" s="84">
        <v>4.39</v>
      </c>
      <c r="G198" s="72">
        <f>F198-F198*$I$1/100</f>
        <v>4.39</v>
      </c>
      <c r="H198" s="124"/>
      <c r="I198" s="98">
        <f t="shared" si="10"/>
        <v>0</v>
      </c>
      <c r="J198" s="101">
        <f>H198*0.992</f>
        <v>0</v>
      </c>
      <c r="K198" s="51">
        <f>H198*1</f>
        <v>0</v>
      </c>
      <c r="L198" s="24"/>
      <c r="M198" s="127"/>
      <c r="N198" s="12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3.5">
      <c r="A199" s="62">
        <v>4607116120071</v>
      </c>
      <c r="B199" s="63" t="s">
        <v>421</v>
      </c>
      <c r="C199" s="113" t="s">
        <v>422</v>
      </c>
      <c r="D199" s="106" t="s">
        <v>74</v>
      </c>
      <c r="E199" s="106">
        <v>6</v>
      </c>
      <c r="F199" s="97">
        <v>2.79</v>
      </c>
      <c r="G199" s="72">
        <f>F199-F199*$I$1/100</f>
        <v>2.79</v>
      </c>
      <c r="H199" s="77"/>
      <c r="I199" s="98">
        <f t="shared" si="10"/>
        <v>0</v>
      </c>
      <c r="J199" s="101">
        <f>H199*0.556</f>
        <v>0</v>
      </c>
      <c r="K199" s="51">
        <f>H199*0.5</f>
        <v>0</v>
      </c>
      <c r="L199" s="24"/>
      <c r="M199" s="73"/>
      <c r="N199" s="8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3.5">
      <c r="A200" s="62">
        <v>4607116120798</v>
      </c>
      <c r="B200" s="63" t="s">
        <v>423</v>
      </c>
      <c r="C200" s="113" t="s">
        <v>424</v>
      </c>
      <c r="D200" s="106" t="s">
        <v>107</v>
      </c>
      <c r="E200" s="106">
        <v>6</v>
      </c>
      <c r="F200" s="97">
        <v>4.39</v>
      </c>
      <c r="G200" s="72">
        <f>F200-F200*$I$1/100</f>
        <v>4.39</v>
      </c>
      <c r="H200" s="77"/>
      <c r="I200" s="137">
        <f t="shared" si="10"/>
        <v>0</v>
      </c>
      <c r="J200" s="101">
        <f>H200*1.0333</f>
        <v>0</v>
      </c>
      <c r="K200" s="138">
        <f>H200*1</f>
        <v>0</v>
      </c>
      <c r="L200" s="24"/>
      <c r="M200" s="73"/>
      <c r="N200" s="8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3.5">
      <c r="A201" s="62">
        <v>4607116120347</v>
      </c>
      <c r="B201" s="63" t="s">
        <v>425</v>
      </c>
      <c r="C201" s="113" t="s">
        <v>426</v>
      </c>
      <c r="D201" s="106" t="s">
        <v>212</v>
      </c>
      <c r="E201" s="106">
        <v>2</v>
      </c>
      <c r="F201" s="97">
        <v>20.35</v>
      </c>
      <c r="G201" s="72">
        <f>F201-F201*$I$1/100</f>
        <v>20.35</v>
      </c>
      <c r="H201" s="77"/>
      <c r="I201" s="98">
        <f t="shared" si="10"/>
        <v>0</v>
      </c>
      <c r="J201" s="101">
        <f>H201*4.875</f>
        <v>0</v>
      </c>
      <c r="K201" s="51">
        <f>H201*5</f>
        <v>0</v>
      </c>
      <c r="L201" s="24"/>
      <c r="M201" s="139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3.5">
      <c r="A202" s="62">
        <v>4607116120804</v>
      </c>
      <c r="B202" s="63" t="s">
        <v>427</v>
      </c>
      <c r="C202" s="113" t="s">
        <v>428</v>
      </c>
      <c r="D202" s="106" t="s">
        <v>107</v>
      </c>
      <c r="E202" s="106">
        <v>6</v>
      </c>
      <c r="F202" s="97">
        <v>4.73</v>
      </c>
      <c r="G202" s="72">
        <f>F202-F202*$I$1/100</f>
        <v>4.73</v>
      </c>
      <c r="H202" s="77"/>
      <c r="I202" s="98">
        <f t="shared" si="10"/>
        <v>0</v>
      </c>
      <c r="J202" s="101">
        <f>H202*1.043</f>
        <v>0</v>
      </c>
      <c r="K202" s="51">
        <f>H202*1</f>
        <v>0</v>
      </c>
      <c r="L202" s="24"/>
      <c r="M202" s="73"/>
      <c r="N202" s="8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3.5">
      <c r="A203" s="62">
        <v>4607116120354</v>
      </c>
      <c r="B203" s="63" t="s">
        <v>429</v>
      </c>
      <c r="C203" s="113" t="s">
        <v>430</v>
      </c>
      <c r="D203" s="106" t="s">
        <v>212</v>
      </c>
      <c r="E203" s="106">
        <v>2</v>
      </c>
      <c r="F203" s="97">
        <v>22.11</v>
      </c>
      <c r="G203" s="72">
        <f>F203-F203*$I$1/100</f>
        <v>22.11</v>
      </c>
      <c r="H203" s="77"/>
      <c r="I203" s="98">
        <f t="shared" si="10"/>
        <v>0</v>
      </c>
      <c r="J203" s="101">
        <f>H203*4.925</f>
        <v>0</v>
      </c>
      <c r="K203" s="51">
        <f>H203*5</f>
        <v>0</v>
      </c>
      <c r="L203" s="24"/>
      <c r="M203" s="73"/>
      <c r="N203" s="8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3.5">
      <c r="A204" s="62">
        <v>4607116125656</v>
      </c>
      <c r="B204" s="63" t="s">
        <v>431</v>
      </c>
      <c r="C204" s="113" t="s">
        <v>432</v>
      </c>
      <c r="D204" s="106" t="s">
        <v>74</v>
      </c>
      <c r="E204" s="106">
        <v>6</v>
      </c>
      <c r="F204" s="97">
        <v>2.94</v>
      </c>
      <c r="G204" s="72">
        <f>F204-F204*$I$1/100</f>
        <v>2.94</v>
      </c>
      <c r="H204" s="77"/>
      <c r="I204" s="98">
        <f t="shared" si="10"/>
        <v>0</v>
      </c>
      <c r="J204" s="101">
        <f>H204*0.556</f>
        <v>0</v>
      </c>
      <c r="K204" s="51">
        <f>H204*0.5</f>
        <v>0</v>
      </c>
      <c r="L204" s="24"/>
      <c r="M204" s="73"/>
      <c r="N204" s="11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3.5">
      <c r="A205" s="62">
        <v>4607116120750</v>
      </c>
      <c r="B205" s="63" t="s">
        <v>433</v>
      </c>
      <c r="C205" s="113" t="s">
        <v>434</v>
      </c>
      <c r="D205" s="106" t="s">
        <v>107</v>
      </c>
      <c r="E205" s="106">
        <v>6</v>
      </c>
      <c r="F205" s="97">
        <v>4.61</v>
      </c>
      <c r="G205" s="72">
        <f>F205-F205*$I$1/100</f>
        <v>4.61</v>
      </c>
      <c r="H205" s="77"/>
      <c r="I205" s="98">
        <f t="shared" si="10"/>
        <v>0</v>
      </c>
      <c r="J205" s="101">
        <f>H205*1.033</f>
        <v>0</v>
      </c>
      <c r="K205" s="51">
        <f>H205*1</f>
        <v>0</v>
      </c>
      <c r="L205" s="24"/>
      <c r="M205" s="73"/>
      <c r="N205" s="11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3.5">
      <c r="A206" s="62">
        <v>4607116120767</v>
      </c>
      <c r="B206" s="63" t="s">
        <v>435</v>
      </c>
      <c r="C206" s="113" t="s">
        <v>436</v>
      </c>
      <c r="D206" s="106" t="s">
        <v>212</v>
      </c>
      <c r="E206" s="106">
        <v>2</v>
      </c>
      <c r="F206" s="97">
        <v>21.37</v>
      </c>
      <c r="G206" s="72">
        <f>F206-F206*$I$1/100</f>
        <v>21.37</v>
      </c>
      <c r="H206" s="77"/>
      <c r="I206" s="98">
        <f t="shared" si="10"/>
        <v>0</v>
      </c>
      <c r="J206" s="101">
        <f>H206*4.875</f>
        <v>0</v>
      </c>
      <c r="K206" s="51">
        <f>H206*5</f>
        <v>0</v>
      </c>
      <c r="L206" s="24"/>
      <c r="M206" s="73"/>
      <c r="N206" s="11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3.5">
      <c r="A207" s="62">
        <v>4607116124789</v>
      </c>
      <c r="B207" s="63" t="s">
        <v>437</v>
      </c>
      <c r="C207" s="113" t="s">
        <v>438</v>
      </c>
      <c r="D207" s="106" t="s">
        <v>107</v>
      </c>
      <c r="E207" s="106">
        <v>6</v>
      </c>
      <c r="F207" s="97">
        <v>4.61</v>
      </c>
      <c r="G207" s="72">
        <f>F207-F207*$I$1/100</f>
        <v>4.61</v>
      </c>
      <c r="H207" s="77"/>
      <c r="I207" s="98">
        <f t="shared" si="10"/>
        <v>0</v>
      </c>
      <c r="J207" s="101">
        <f>H207*1.033</f>
        <v>0</v>
      </c>
      <c r="K207" s="51">
        <f>H207*1</f>
        <v>0</v>
      </c>
      <c r="L207" s="24"/>
      <c r="M207" s="73"/>
      <c r="N207" s="11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>
      <c r="A208" s="62">
        <v>4607116124796</v>
      </c>
      <c r="B208" s="63" t="s">
        <v>439</v>
      </c>
      <c r="C208" s="113" t="s">
        <v>440</v>
      </c>
      <c r="D208" s="106" t="s">
        <v>212</v>
      </c>
      <c r="E208" s="106">
        <v>2</v>
      </c>
      <c r="F208" s="97">
        <v>21.37</v>
      </c>
      <c r="G208" s="72">
        <f>F208-F208*$I$1/100</f>
        <v>21.37</v>
      </c>
      <c r="H208" s="77"/>
      <c r="I208" s="98">
        <f t="shared" si="10"/>
        <v>0</v>
      </c>
      <c r="J208" s="101">
        <f>H208*4.875</f>
        <v>0</v>
      </c>
      <c r="K208" s="51">
        <f>H208*5</f>
        <v>0</v>
      </c>
      <c r="L208" s="2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s="9" customFormat="1" ht="12.75">
      <c r="A209" s="62">
        <v>4607116123249</v>
      </c>
      <c r="B209" s="63" t="s">
        <v>441</v>
      </c>
      <c r="C209" s="113" t="s">
        <v>442</v>
      </c>
      <c r="D209" s="106" t="s">
        <v>74</v>
      </c>
      <c r="E209" s="106">
        <v>6</v>
      </c>
      <c r="F209" s="97">
        <v>3.24</v>
      </c>
      <c r="G209" s="72">
        <f>F209-F209*$I$1/100</f>
        <v>3.24</v>
      </c>
      <c r="H209" s="77"/>
      <c r="I209" s="98">
        <f t="shared" si="10"/>
        <v>0</v>
      </c>
      <c r="J209" s="101">
        <f>H209*0.575</f>
        <v>0</v>
      </c>
      <c r="K209" s="51">
        <f>H209*0.5</f>
        <v>0</v>
      </c>
      <c r="L209" s="24"/>
      <c r="M209" s="1"/>
      <c r="N209" s="1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s="9" customFormat="1" ht="13.5">
      <c r="A210" s="62">
        <v>4607116120576</v>
      </c>
      <c r="B210" s="63" t="s">
        <v>443</v>
      </c>
      <c r="C210" s="105" t="s">
        <v>444</v>
      </c>
      <c r="D210" s="106" t="s">
        <v>445</v>
      </c>
      <c r="E210" s="106">
        <v>6</v>
      </c>
      <c r="F210" s="97">
        <v>3.62</v>
      </c>
      <c r="G210" s="72">
        <f>F210-F210*$I$1/100</f>
        <v>3.62</v>
      </c>
      <c r="H210" s="77"/>
      <c r="I210" s="98">
        <f t="shared" si="10"/>
        <v>0</v>
      </c>
      <c r="J210" s="101">
        <f>H210*0.3666</f>
        <v>0</v>
      </c>
      <c r="K210" s="51">
        <f>H210*0.25</f>
        <v>0</v>
      </c>
      <c r="L210" s="24"/>
      <c r="M210" s="73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s="9" customFormat="1" ht="13.5">
      <c r="A211" s="62">
        <v>4607116125274</v>
      </c>
      <c r="B211" s="63" t="s">
        <v>446</v>
      </c>
      <c r="C211" s="105" t="s">
        <v>447</v>
      </c>
      <c r="D211" s="106" t="s">
        <v>382</v>
      </c>
      <c r="E211" s="106">
        <v>6</v>
      </c>
      <c r="F211" s="97">
        <v>3.18</v>
      </c>
      <c r="G211" s="72">
        <f>F211-F211*$I$1/100</f>
        <v>3.18</v>
      </c>
      <c r="H211" s="77"/>
      <c r="I211" s="98">
        <f t="shared" si="10"/>
        <v>0</v>
      </c>
      <c r="J211" s="101">
        <f>H211*0.325</f>
        <v>0</v>
      </c>
      <c r="K211" s="51">
        <f>H211*0.25</f>
        <v>0</v>
      </c>
      <c r="L211" s="24"/>
      <c r="M211" s="139"/>
      <c r="N211" s="7"/>
      <c r="O211" s="103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ht="18.75" customHeight="1">
      <c r="A212" s="42">
        <v>4607116123348</v>
      </c>
      <c r="B212" s="43" t="s">
        <v>448</v>
      </c>
      <c r="C212" s="140" t="s">
        <v>449</v>
      </c>
      <c r="D212" s="119" t="s">
        <v>107</v>
      </c>
      <c r="E212" s="119">
        <v>6</v>
      </c>
      <c r="F212" s="120">
        <v>0</v>
      </c>
      <c r="G212" s="115">
        <f>F212-F212*$I$1/100</f>
        <v>0</v>
      </c>
      <c r="H212" s="141"/>
      <c r="I212" s="122">
        <f t="shared" si="10"/>
        <v>0</v>
      </c>
      <c r="J212" s="101">
        <f>H212*0.8933</f>
        <v>0</v>
      </c>
      <c r="K212" s="51">
        <f>H212*1</f>
        <v>0</v>
      </c>
      <c r="L212" s="24" t="s">
        <v>16</v>
      </c>
      <c r="M212" s="8"/>
      <c r="N212" s="8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8.75" customHeight="1">
      <c r="A213" s="42">
        <v>4607116124727</v>
      </c>
      <c r="B213" s="43" t="s">
        <v>450</v>
      </c>
      <c r="C213" s="140" t="s">
        <v>451</v>
      </c>
      <c r="D213" s="119" t="s">
        <v>212</v>
      </c>
      <c r="E213" s="119">
        <v>2</v>
      </c>
      <c r="F213" s="120">
        <v>0</v>
      </c>
      <c r="G213" s="115">
        <f>F213-F213*$I$1/100</f>
        <v>0</v>
      </c>
      <c r="H213" s="141"/>
      <c r="I213" s="122">
        <f>G213*H213</f>
        <v>0</v>
      </c>
      <c r="J213" s="101">
        <f>H213*4.175</f>
        <v>0</v>
      </c>
      <c r="K213" s="51">
        <f>H213*5</f>
        <v>0</v>
      </c>
      <c r="L213" s="24" t="s">
        <v>16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s="16" customFormat="1" ht="18" customHeight="1">
      <c r="A214" s="32" t="s">
        <v>452</v>
      </c>
      <c r="B214" s="32"/>
      <c r="C214" s="32"/>
      <c r="D214" s="32"/>
      <c r="E214" s="32"/>
      <c r="F214" s="32"/>
      <c r="G214" s="32"/>
      <c r="H214" s="32"/>
      <c r="I214" s="87"/>
      <c r="J214" s="88"/>
      <c r="K214" s="89"/>
      <c r="L214" s="24"/>
      <c r="M214" s="25"/>
      <c r="N214" s="25"/>
      <c r="O214" s="142"/>
      <c r="P214" s="142"/>
      <c r="Q214" s="142"/>
      <c r="R214" s="142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</row>
    <row r="215" spans="1:43" s="17" customFormat="1" ht="18" customHeight="1">
      <c r="A215" s="144">
        <v>4630163680748</v>
      </c>
      <c r="B215" s="63" t="s">
        <v>453</v>
      </c>
      <c r="C215" s="145" t="s">
        <v>454</v>
      </c>
      <c r="D215" s="106" t="s">
        <v>107</v>
      </c>
      <c r="E215" s="106">
        <v>6</v>
      </c>
      <c r="F215" s="146">
        <v>14.38</v>
      </c>
      <c r="G215" s="67">
        <f>F215-F215*$I$1/100</f>
        <v>14.38</v>
      </c>
      <c r="H215" s="147"/>
      <c r="I215" s="69">
        <f aca="true" t="shared" si="11" ref="I215:I278">G215*H215</f>
        <v>0</v>
      </c>
      <c r="J215" s="50">
        <f>H215*1.2</f>
        <v>0</v>
      </c>
      <c r="K215" s="51">
        <f>H215*1</f>
        <v>0</v>
      </c>
      <c r="L215" s="148"/>
      <c r="M215" s="148"/>
      <c r="N215" s="148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</row>
    <row r="216" spans="1:43" ht="12.75">
      <c r="A216" s="62">
        <v>4607116123935</v>
      </c>
      <c r="B216" s="63" t="s">
        <v>453</v>
      </c>
      <c r="C216" s="113" t="s">
        <v>455</v>
      </c>
      <c r="D216" s="106" t="s">
        <v>107</v>
      </c>
      <c r="E216" s="106">
        <v>6</v>
      </c>
      <c r="F216" s="97">
        <v>14.38</v>
      </c>
      <c r="G216" s="67">
        <f>F216-F216*$I$1/100</f>
        <v>14.38</v>
      </c>
      <c r="H216" s="68"/>
      <c r="I216" s="69">
        <f t="shared" si="11"/>
        <v>0</v>
      </c>
      <c r="J216" s="50">
        <f>H216*1.2</f>
        <v>0</v>
      </c>
      <c r="K216" s="51">
        <f>H216*1</f>
        <v>0</v>
      </c>
      <c r="L216" s="24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</row>
    <row r="217" spans="1:43" s="9" customFormat="1" ht="12.75">
      <c r="A217" s="62">
        <v>4607116123904</v>
      </c>
      <c r="B217" s="63" t="s">
        <v>453</v>
      </c>
      <c r="C217" s="113" t="s">
        <v>456</v>
      </c>
      <c r="D217" s="106" t="s">
        <v>107</v>
      </c>
      <c r="E217" s="106">
        <v>6</v>
      </c>
      <c r="F217" s="97">
        <v>19.57</v>
      </c>
      <c r="G217" s="67">
        <f>F217-F217*$I$1/100</f>
        <v>19.57</v>
      </c>
      <c r="H217" s="68"/>
      <c r="I217" s="69">
        <f t="shared" si="11"/>
        <v>0</v>
      </c>
      <c r="J217" s="50">
        <f>H217*1.3666</f>
        <v>0</v>
      </c>
      <c r="K217" s="51">
        <f>H217*1</f>
        <v>0</v>
      </c>
      <c r="L217" s="24"/>
      <c r="M217" s="25"/>
      <c r="N217" s="25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</row>
    <row r="218" spans="1:43" s="18" customFormat="1" ht="12.75">
      <c r="A218" s="62">
        <v>4607116123942</v>
      </c>
      <c r="B218" s="63" t="s">
        <v>453</v>
      </c>
      <c r="C218" s="113" t="s">
        <v>457</v>
      </c>
      <c r="D218" s="106" t="s">
        <v>107</v>
      </c>
      <c r="E218" s="106">
        <v>6</v>
      </c>
      <c r="F218" s="97">
        <v>15.63</v>
      </c>
      <c r="G218" s="67">
        <f>F218-F218*$I$1/100</f>
        <v>15.63</v>
      </c>
      <c r="H218" s="68"/>
      <c r="I218" s="69">
        <f t="shared" si="11"/>
        <v>0</v>
      </c>
      <c r="J218" s="50">
        <f aca="true" t="shared" si="12" ref="J218:J237">H218*1.2</f>
        <v>0</v>
      </c>
      <c r="K218" s="51">
        <f>H218*1</f>
        <v>0</v>
      </c>
      <c r="L218" s="24"/>
      <c r="M218" s="25"/>
      <c r="N218" s="25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</row>
    <row r="219" spans="1:43" s="18" customFormat="1" ht="12.75">
      <c r="A219" s="62">
        <v>4607116123959</v>
      </c>
      <c r="B219" s="63" t="s">
        <v>453</v>
      </c>
      <c r="C219" s="113" t="s">
        <v>458</v>
      </c>
      <c r="D219" s="106" t="s">
        <v>107</v>
      </c>
      <c r="E219" s="106">
        <v>6</v>
      </c>
      <c r="F219" s="97">
        <v>19.57</v>
      </c>
      <c r="G219" s="67">
        <f>F219-F219*$I$1/100</f>
        <v>19.57</v>
      </c>
      <c r="H219" s="68"/>
      <c r="I219" s="69">
        <f t="shared" si="11"/>
        <v>0</v>
      </c>
      <c r="J219" s="50">
        <f t="shared" si="12"/>
        <v>0</v>
      </c>
      <c r="K219" s="51">
        <f>H219*0.8</f>
        <v>0</v>
      </c>
      <c r="L219" s="24"/>
      <c r="M219" s="25"/>
      <c r="N219" s="25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</row>
    <row r="220" spans="1:43" s="18" customFormat="1" ht="12.75">
      <c r="A220" s="62">
        <v>4607116123966</v>
      </c>
      <c r="B220" s="63" t="s">
        <v>453</v>
      </c>
      <c r="C220" s="113" t="s">
        <v>459</v>
      </c>
      <c r="D220" s="106" t="s">
        <v>107</v>
      </c>
      <c r="E220" s="106">
        <v>6</v>
      </c>
      <c r="F220" s="97">
        <v>19.57</v>
      </c>
      <c r="G220" s="67">
        <f>F220-F220*$I$1/100</f>
        <v>19.57</v>
      </c>
      <c r="H220" s="68"/>
      <c r="I220" s="69">
        <f t="shared" si="11"/>
        <v>0</v>
      </c>
      <c r="J220" s="50">
        <f t="shared" si="12"/>
        <v>0</v>
      </c>
      <c r="K220" s="51">
        <f>H220*1</f>
        <v>0</v>
      </c>
      <c r="L220" s="24"/>
      <c r="M220" s="25"/>
      <c r="N220" s="25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</row>
    <row r="221" spans="1:43" s="18" customFormat="1" ht="12.75">
      <c r="A221" s="62">
        <v>4630163680786</v>
      </c>
      <c r="B221" s="63" t="s">
        <v>453</v>
      </c>
      <c r="C221" s="113" t="s">
        <v>460</v>
      </c>
      <c r="D221" s="106" t="s">
        <v>107</v>
      </c>
      <c r="E221" s="106">
        <v>6</v>
      </c>
      <c r="F221" s="97">
        <v>14.38</v>
      </c>
      <c r="G221" s="67">
        <f>F221-F221*$I$1/100</f>
        <v>14.38</v>
      </c>
      <c r="H221" s="68"/>
      <c r="I221" s="69">
        <f t="shared" si="11"/>
        <v>0</v>
      </c>
      <c r="J221" s="50">
        <f t="shared" si="12"/>
        <v>0</v>
      </c>
      <c r="K221" s="51">
        <f>H221*1</f>
        <v>0</v>
      </c>
      <c r="L221" s="24"/>
      <c r="M221" s="25"/>
      <c r="N221" s="25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</row>
    <row r="222" spans="1:43" s="9" customFormat="1" ht="12.75">
      <c r="A222" s="62">
        <v>4607116123973</v>
      </c>
      <c r="B222" s="63" t="s">
        <v>453</v>
      </c>
      <c r="C222" s="113" t="s">
        <v>461</v>
      </c>
      <c r="D222" s="106" t="s">
        <v>107</v>
      </c>
      <c r="E222" s="106">
        <v>6</v>
      </c>
      <c r="F222" s="97">
        <v>15.63</v>
      </c>
      <c r="G222" s="67">
        <f>F222-F222*$I$1/100</f>
        <v>15.63</v>
      </c>
      <c r="H222" s="68"/>
      <c r="I222" s="69">
        <f t="shared" si="11"/>
        <v>0</v>
      </c>
      <c r="J222" s="50">
        <f t="shared" si="12"/>
        <v>0</v>
      </c>
      <c r="K222" s="51">
        <f>H222*1</f>
        <v>0</v>
      </c>
      <c r="L222" s="24"/>
      <c r="M222" s="25"/>
      <c r="N222" s="25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</row>
    <row r="223" spans="1:43" ht="12.75">
      <c r="A223" s="62">
        <v>4607116123980</v>
      </c>
      <c r="B223" s="63" t="s">
        <v>453</v>
      </c>
      <c r="C223" s="113" t="s">
        <v>462</v>
      </c>
      <c r="D223" s="106" t="s">
        <v>107</v>
      </c>
      <c r="E223" s="106">
        <v>6</v>
      </c>
      <c r="F223" s="97">
        <v>19.57</v>
      </c>
      <c r="G223" s="67">
        <f>F223-F223*$I$1/100</f>
        <v>19.57</v>
      </c>
      <c r="H223" s="68"/>
      <c r="I223" s="69">
        <f t="shared" si="11"/>
        <v>0</v>
      </c>
      <c r="J223" s="50">
        <f t="shared" si="12"/>
        <v>0</v>
      </c>
      <c r="K223" s="51">
        <f>H223*1</f>
        <v>0</v>
      </c>
      <c r="L223" s="24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</row>
    <row r="224" spans="1:43" ht="12.75">
      <c r="A224" s="62">
        <v>4607116123911</v>
      </c>
      <c r="B224" s="63" t="s">
        <v>453</v>
      </c>
      <c r="C224" s="113" t="s">
        <v>463</v>
      </c>
      <c r="D224" s="106" t="s">
        <v>107</v>
      </c>
      <c r="E224" s="106">
        <v>6</v>
      </c>
      <c r="F224" s="97">
        <v>19.57</v>
      </c>
      <c r="G224" s="67">
        <f>F224-F224*$I$1/100</f>
        <v>19.57</v>
      </c>
      <c r="H224" s="68"/>
      <c r="I224" s="69">
        <f t="shared" si="11"/>
        <v>0</v>
      </c>
      <c r="J224" s="50">
        <f t="shared" si="12"/>
        <v>0</v>
      </c>
      <c r="K224" s="51">
        <f>H224*1</f>
        <v>0</v>
      </c>
      <c r="L224" s="24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</row>
    <row r="225" spans="1:43" s="18" customFormat="1" ht="12.75">
      <c r="A225" s="62">
        <v>4607116123997</v>
      </c>
      <c r="B225" s="63" t="s">
        <v>453</v>
      </c>
      <c r="C225" s="113" t="s">
        <v>464</v>
      </c>
      <c r="D225" s="106" t="s">
        <v>107</v>
      </c>
      <c r="E225" s="106">
        <v>6</v>
      </c>
      <c r="F225" s="97">
        <v>14.38</v>
      </c>
      <c r="G225" s="67">
        <f>F225-F225*$I$1/100</f>
        <v>14.38</v>
      </c>
      <c r="H225" s="68"/>
      <c r="I225" s="69">
        <f t="shared" si="11"/>
        <v>0</v>
      </c>
      <c r="J225" s="50">
        <f t="shared" si="12"/>
        <v>0</v>
      </c>
      <c r="K225" s="51">
        <f>H225*0.8</f>
        <v>0</v>
      </c>
      <c r="L225" s="24"/>
      <c r="M225" s="25"/>
      <c r="N225" s="25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</row>
    <row r="226" spans="1:43" ht="12.75">
      <c r="A226" s="62">
        <v>4607116123928</v>
      </c>
      <c r="B226" s="63" t="s">
        <v>453</v>
      </c>
      <c r="C226" s="113" t="s">
        <v>465</v>
      </c>
      <c r="D226" s="106" t="s">
        <v>107</v>
      </c>
      <c r="E226" s="106">
        <v>6</v>
      </c>
      <c r="F226" s="97">
        <v>15.63</v>
      </c>
      <c r="G226" s="67">
        <f>F226-F226*$I$1/100</f>
        <v>15.63</v>
      </c>
      <c r="H226" s="68"/>
      <c r="I226" s="69">
        <f t="shared" si="11"/>
        <v>0</v>
      </c>
      <c r="J226" s="50">
        <f t="shared" si="12"/>
        <v>0</v>
      </c>
      <c r="K226" s="51">
        <f aca="true" t="shared" si="13" ref="K226:K233">H226*1</f>
        <v>0</v>
      </c>
      <c r="L226" s="24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</row>
    <row r="227" spans="1:43" s="18" customFormat="1" ht="12.75">
      <c r="A227" s="62">
        <v>4607116124000</v>
      </c>
      <c r="B227" s="63" t="s">
        <v>453</v>
      </c>
      <c r="C227" s="113" t="s">
        <v>466</v>
      </c>
      <c r="D227" s="106" t="s">
        <v>107</v>
      </c>
      <c r="E227" s="106">
        <v>6</v>
      </c>
      <c r="F227" s="97">
        <v>14.38</v>
      </c>
      <c r="G227" s="67">
        <f>F227-F227*$I$1/100</f>
        <v>14.38</v>
      </c>
      <c r="H227" s="68"/>
      <c r="I227" s="69">
        <f t="shared" si="11"/>
        <v>0</v>
      </c>
      <c r="J227" s="50">
        <f t="shared" si="12"/>
        <v>0</v>
      </c>
      <c r="K227" s="51">
        <f t="shared" si="13"/>
        <v>0</v>
      </c>
      <c r="L227" s="24"/>
      <c r="M227" s="25"/>
      <c r="N227" s="25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</row>
    <row r="228" spans="1:43" ht="12.75">
      <c r="A228" s="62">
        <v>4607116124017</v>
      </c>
      <c r="B228" s="63" t="s">
        <v>453</v>
      </c>
      <c r="C228" s="113" t="s">
        <v>467</v>
      </c>
      <c r="D228" s="106" t="s">
        <v>107</v>
      </c>
      <c r="E228" s="106">
        <v>6</v>
      </c>
      <c r="F228" s="97">
        <v>14.38</v>
      </c>
      <c r="G228" s="67">
        <f>F228-F228*$I$1/100</f>
        <v>14.38</v>
      </c>
      <c r="H228" s="68"/>
      <c r="I228" s="69">
        <f t="shared" si="11"/>
        <v>0</v>
      </c>
      <c r="J228" s="50">
        <f t="shared" si="12"/>
        <v>0</v>
      </c>
      <c r="K228" s="51">
        <f t="shared" si="13"/>
        <v>0</v>
      </c>
      <c r="L228" s="24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</row>
    <row r="229" spans="1:43" ht="12.75">
      <c r="A229" s="62">
        <v>4607116124024</v>
      </c>
      <c r="B229" s="63" t="s">
        <v>453</v>
      </c>
      <c r="C229" s="113" t="s">
        <v>468</v>
      </c>
      <c r="D229" s="106" t="s">
        <v>107</v>
      </c>
      <c r="E229" s="106">
        <v>6</v>
      </c>
      <c r="F229" s="97">
        <v>14.38</v>
      </c>
      <c r="G229" s="67">
        <f>F229-F229*$I$1/100</f>
        <v>14.38</v>
      </c>
      <c r="H229" s="68"/>
      <c r="I229" s="69">
        <f t="shared" si="11"/>
        <v>0</v>
      </c>
      <c r="J229" s="50">
        <f t="shared" si="12"/>
        <v>0</v>
      </c>
      <c r="K229" s="51">
        <f t="shared" si="13"/>
        <v>0</v>
      </c>
      <c r="L229" s="24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</row>
    <row r="230" spans="1:43" ht="12.75">
      <c r="A230" s="62">
        <v>4607116124031</v>
      </c>
      <c r="B230" s="63" t="s">
        <v>453</v>
      </c>
      <c r="C230" s="113" t="s">
        <v>469</v>
      </c>
      <c r="D230" s="106" t="s">
        <v>107</v>
      </c>
      <c r="E230" s="106">
        <v>6</v>
      </c>
      <c r="F230" s="97">
        <v>19.57</v>
      </c>
      <c r="G230" s="67">
        <f>F230-F230*$I$1/100</f>
        <v>19.57</v>
      </c>
      <c r="H230" s="68"/>
      <c r="I230" s="69">
        <f t="shared" si="11"/>
        <v>0</v>
      </c>
      <c r="J230" s="50">
        <f t="shared" si="12"/>
        <v>0</v>
      </c>
      <c r="K230" s="51">
        <f t="shared" si="13"/>
        <v>0</v>
      </c>
      <c r="L230" s="24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</row>
    <row r="231" spans="1:43" ht="12.75">
      <c r="A231" s="62">
        <v>4607116124048</v>
      </c>
      <c r="B231" s="63" t="s">
        <v>453</v>
      </c>
      <c r="C231" s="113" t="s">
        <v>470</v>
      </c>
      <c r="D231" s="106" t="s">
        <v>107</v>
      </c>
      <c r="E231" s="106">
        <v>6</v>
      </c>
      <c r="F231" s="97">
        <v>14.38</v>
      </c>
      <c r="G231" s="67">
        <f>F231-F231*$I$1/100</f>
        <v>14.38</v>
      </c>
      <c r="H231" s="68"/>
      <c r="I231" s="69">
        <f t="shared" si="11"/>
        <v>0</v>
      </c>
      <c r="J231" s="50">
        <f t="shared" si="12"/>
        <v>0</v>
      </c>
      <c r="K231" s="51">
        <f t="shared" si="13"/>
        <v>0</v>
      </c>
      <c r="L231" s="24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</row>
    <row r="232" spans="1:43" ht="12.75">
      <c r="A232" s="62">
        <v>4630163680731</v>
      </c>
      <c r="B232" s="63" t="s">
        <v>453</v>
      </c>
      <c r="C232" s="113" t="s">
        <v>471</v>
      </c>
      <c r="D232" s="106" t="s">
        <v>107</v>
      </c>
      <c r="E232" s="106">
        <v>6</v>
      </c>
      <c r="F232" s="97">
        <v>14.38</v>
      </c>
      <c r="G232" s="67">
        <f>F232-F232*$I$1/100</f>
        <v>14.38</v>
      </c>
      <c r="H232" s="68"/>
      <c r="I232" s="69">
        <f t="shared" si="11"/>
        <v>0</v>
      </c>
      <c r="J232" s="50">
        <f t="shared" si="12"/>
        <v>0</v>
      </c>
      <c r="K232" s="51">
        <f t="shared" si="13"/>
        <v>0</v>
      </c>
      <c r="L232" s="24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</row>
    <row r="233" spans="1:43" ht="12.75">
      <c r="A233" s="62">
        <v>4607116124055</v>
      </c>
      <c r="B233" s="63" t="s">
        <v>453</v>
      </c>
      <c r="C233" s="113" t="s">
        <v>472</v>
      </c>
      <c r="D233" s="106" t="s">
        <v>107</v>
      </c>
      <c r="E233" s="106">
        <v>6</v>
      </c>
      <c r="F233" s="97">
        <v>14.38</v>
      </c>
      <c r="G233" s="67">
        <f>F233-F233*$I$1/100</f>
        <v>14.38</v>
      </c>
      <c r="H233" s="68"/>
      <c r="I233" s="69">
        <f t="shared" si="11"/>
        <v>0</v>
      </c>
      <c r="J233" s="50">
        <f t="shared" si="12"/>
        <v>0</v>
      </c>
      <c r="K233" s="51">
        <f t="shared" si="13"/>
        <v>0</v>
      </c>
      <c r="L233" s="24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</row>
    <row r="234" spans="1:43" ht="12.75">
      <c r="A234" s="62">
        <v>4607116124062</v>
      </c>
      <c r="B234" s="63" t="s">
        <v>453</v>
      </c>
      <c r="C234" s="113" t="s">
        <v>473</v>
      </c>
      <c r="D234" s="106" t="s">
        <v>107</v>
      </c>
      <c r="E234" s="106">
        <v>6</v>
      </c>
      <c r="F234" s="97">
        <v>14.38</v>
      </c>
      <c r="G234" s="67">
        <f>F234-F234*$I$1/100</f>
        <v>14.38</v>
      </c>
      <c r="H234" s="68"/>
      <c r="I234" s="69">
        <f t="shared" si="11"/>
        <v>0</v>
      </c>
      <c r="J234" s="50">
        <f t="shared" si="12"/>
        <v>0</v>
      </c>
      <c r="K234" s="51">
        <f>H234*0.8</f>
        <v>0</v>
      </c>
      <c r="L234" s="24"/>
      <c r="M234" s="24"/>
      <c r="N234" s="9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</row>
    <row r="235" spans="1:43" ht="12.75">
      <c r="A235" s="62">
        <v>4607116124079</v>
      </c>
      <c r="B235" s="63" t="s">
        <v>453</v>
      </c>
      <c r="C235" s="113" t="s">
        <v>474</v>
      </c>
      <c r="D235" s="106" t="s">
        <v>107</v>
      </c>
      <c r="E235" s="106">
        <v>6</v>
      </c>
      <c r="F235" s="97">
        <v>14.38</v>
      </c>
      <c r="G235" s="67">
        <f>F235-F235*$I$1/100</f>
        <v>14.38</v>
      </c>
      <c r="H235" s="68"/>
      <c r="I235" s="69">
        <f t="shared" si="11"/>
        <v>0</v>
      </c>
      <c r="J235" s="50">
        <f t="shared" si="12"/>
        <v>0</v>
      </c>
      <c r="K235" s="51">
        <f aca="true" t="shared" si="14" ref="K235:K284">H235*1</f>
        <v>0</v>
      </c>
      <c r="L235" s="24"/>
      <c r="M235" s="24"/>
      <c r="N235" s="9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</row>
    <row r="236" spans="1:43" ht="12.75">
      <c r="A236" s="62">
        <v>4607116125328</v>
      </c>
      <c r="B236" s="63" t="s">
        <v>453</v>
      </c>
      <c r="C236" s="151" t="s">
        <v>475</v>
      </c>
      <c r="D236" s="106" t="s">
        <v>107</v>
      </c>
      <c r="E236" s="106">
        <v>6</v>
      </c>
      <c r="F236" s="97">
        <v>15.63</v>
      </c>
      <c r="G236" s="67">
        <f>F236-F236*$I$1/100</f>
        <v>15.63</v>
      </c>
      <c r="H236" s="68"/>
      <c r="I236" s="69">
        <f t="shared" si="11"/>
        <v>0</v>
      </c>
      <c r="J236" s="50">
        <f t="shared" si="12"/>
        <v>0</v>
      </c>
      <c r="K236" s="51">
        <f t="shared" si="14"/>
        <v>0</v>
      </c>
      <c r="L236" s="24"/>
      <c r="M236" s="24"/>
      <c r="N236" s="9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</row>
    <row r="237" spans="1:43" ht="12.75">
      <c r="A237" s="62">
        <v>4607116125359</v>
      </c>
      <c r="B237" s="63" t="s">
        <v>453</v>
      </c>
      <c r="C237" s="151" t="s">
        <v>476</v>
      </c>
      <c r="D237" s="106" t="s">
        <v>107</v>
      </c>
      <c r="E237" s="106">
        <v>6</v>
      </c>
      <c r="F237" s="97">
        <v>14.38</v>
      </c>
      <c r="G237" s="67">
        <f>F237-F237*$I$1/100</f>
        <v>14.38</v>
      </c>
      <c r="H237" s="68"/>
      <c r="I237" s="69">
        <f t="shared" si="11"/>
        <v>0</v>
      </c>
      <c r="J237" s="50">
        <f t="shared" si="12"/>
        <v>0</v>
      </c>
      <c r="K237" s="51">
        <f t="shared" si="14"/>
        <v>0</v>
      </c>
      <c r="L237" s="24"/>
      <c r="M237" s="24"/>
      <c r="N237" s="9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</row>
    <row r="238" spans="1:43" ht="12.75">
      <c r="A238" s="62">
        <v>4607116125335</v>
      </c>
      <c r="B238" s="63" t="s">
        <v>453</v>
      </c>
      <c r="C238" s="151" t="s">
        <v>477</v>
      </c>
      <c r="D238" s="106" t="s">
        <v>107</v>
      </c>
      <c r="E238" s="106">
        <v>6</v>
      </c>
      <c r="F238" s="97">
        <v>16.83</v>
      </c>
      <c r="G238" s="67">
        <f>F238-F238*$I$1/100</f>
        <v>16.83</v>
      </c>
      <c r="H238" s="68"/>
      <c r="I238" s="69">
        <f t="shared" si="11"/>
        <v>0</v>
      </c>
      <c r="J238" s="50">
        <f>H238*1.1166</f>
        <v>0</v>
      </c>
      <c r="K238" s="51">
        <f t="shared" si="14"/>
        <v>0</v>
      </c>
      <c r="L238" s="24"/>
      <c r="M238" s="24"/>
      <c r="N238" s="9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</row>
    <row r="239" spans="1:43" ht="12.75">
      <c r="A239" s="62">
        <v>4607116125342</v>
      </c>
      <c r="B239" s="63" t="s">
        <v>453</v>
      </c>
      <c r="C239" s="151" t="s">
        <v>478</v>
      </c>
      <c r="D239" s="106" t="s">
        <v>107</v>
      </c>
      <c r="E239" s="106">
        <v>6</v>
      </c>
      <c r="F239" s="97">
        <v>16.83</v>
      </c>
      <c r="G239" s="67">
        <f>F239-F239*$I$1/100</f>
        <v>16.83</v>
      </c>
      <c r="H239" s="68"/>
      <c r="I239" s="69">
        <f t="shared" si="11"/>
        <v>0</v>
      </c>
      <c r="J239" s="50">
        <f>H239*1.1166</f>
        <v>0</v>
      </c>
      <c r="K239" s="51">
        <f t="shared" si="14"/>
        <v>0</v>
      </c>
      <c r="L239" s="24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</row>
    <row r="240" spans="1:43" ht="12.75">
      <c r="A240" s="62">
        <v>4607116125366</v>
      </c>
      <c r="B240" s="63" t="s">
        <v>453</v>
      </c>
      <c r="C240" s="151" t="s">
        <v>479</v>
      </c>
      <c r="D240" s="106" t="s">
        <v>107</v>
      </c>
      <c r="E240" s="106">
        <v>6</v>
      </c>
      <c r="F240" s="97">
        <v>16.83</v>
      </c>
      <c r="G240" s="67">
        <f>F240-F240*$I$1/100</f>
        <v>16.83</v>
      </c>
      <c r="H240" s="68"/>
      <c r="I240" s="69">
        <f t="shared" si="11"/>
        <v>0</v>
      </c>
      <c r="J240" s="50">
        <f>H240*1.1166</f>
        <v>0</v>
      </c>
      <c r="K240" s="51">
        <f t="shared" si="14"/>
        <v>0</v>
      </c>
      <c r="L240" s="24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</row>
    <row r="241" spans="1:43" ht="12.75">
      <c r="A241" s="62">
        <v>4607116122709</v>
      </c>
      <c r="B241" s="63" t="s">
        <v>453</v>
      </c>
      <c r="C241" s="113" t="s">
        <v>480</v>
      </c>
      <c r="D241" s="106" t="s">
        <v>107</v>
      </c>
      <c r="E241" s="106">
        <v>6</v>
      </c>
      <c r="F241" s="97">
        <v>20.81</v>
      </c>
      <c r="G241" s="67">
        <f>F241-F241*$I$1/100</f>
        <v>20.81</v>
      </c>
      <c r="H241" s="152"/>
      <c r="I241" s="69">
        <f t="shared" si="11"/>
        <v>0</v>
      </c>
      <c r="J241" s="50">
        <f aca="true" t="shared" si="15" ref="J241:J249">H241*1.2</f>
        <v>0</v>
      </c>
      <c r="K241" s="51">
        <f t="shared" si="14"/>
        <v>0</v>
      </c>
      <c r="L241" s="24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</row>
    <row r="242" spans="1:43" ht="12.75">
      <c r="A242" s="62">
        <v>4607116122822</v>
      </c>
      <c r="B242" s="63" t="s">
        <v>453</v>
      </c>
      <c r="C242" s="113" t="s">
        <v>481</v>
      </c>
      <c r="D242" s="106" t="s">
        <v>107</v>
      </c>
      <c r="E242" s="106">
        <v>6</v>
      </c>
      <c r="F242" s="97">
        <v>20.81</v>
      </c>
      <c r="G242" s="67">
        <f>F242-F242*$I$1/100</f>
        <v>20.81</v>
      </c>
      <c r="H242" s="152"/>
      <c r="I242" s="69">
        <f t="shared" si="11"/>
        <v>0</v>
      </c>
      <c r="J242" s="50">
        <f t="shared" si="15"/>
        <v>0</v>
      </c>
      <c r="K242" s="51">
        <f t="shared" si="14"/>
        <v>0</v>
      </c>
      <c r="L242" s="24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</row>
    <row r="243" spans="1:43" ht="12.75">
      <c r="A243" s="62">
        <v>4607116124086</v>
      </c>
      <c r="B243" s="63" t="s">
        <v>453</v>
      </c>
      <c r="C243" s="113" t="s">
        <v>482</v>
      </c>
      <c r="D243" s="106" t="s">
        <v>107</v>
      </c>
      <c r="E243" s="106">
        <v>6</v>
      </c>
      <c r="F243" s="97">
        <v>14.38</v>
      </c>
      <c r="G243" s="67">
        <f>F243-F243*$I$1/100</f>
        <v>14.38</v>
      </c>
      <c r="H243" s="152"/>
      <c r="I243" s="69">
        <f t="shared" si="11"/>
        <v>0</v>
      </c>
      <c r="J243" s="50">
        <f t="shared" si="15"/>
        <v>0</v>
      </c>
      <c r="K243" s="51">
        <f t="shared" si="14"/>
        <v>0</v>
      </c>
      <c r="L243" s="24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</row>
    <row r="244" spans="1:43" ht="12.75">
      <c r="A244" s="62">
        <v>4607116123874</v>
      </c>
      <c r="B244" s="63" t="s">
        <v>453</v>
      </c>
      <c r="C244" s="113" t="s">
        <v>483</v>
      </c>
      <c r="D244" s="106" t="s">
        <v>107</v>
      </c>
      <c r="E244" s="106">
        <v>6</v>
      </c>
      <c r="F244" s="97">
        <v>14.38</v>
      </c>
      <c r="G244" s="67">
        <f>F244-F244*$I$1/100</f>
        <v>14.38</v>
      </c>
      <c r="H244" s="152"/>
      <c r="I244" s="69">
        <f t="shared" si="11"/>
        <v>0</v>
      </c>
      <c r="J244" s="50">
        <f t="shared" si="15"/>
        <v>0</v>
      </c>
      <c r="K244" s="51">
        <f t="shared" si="14"/>
        <v>0</v>
      </c>
      <c r="L244" s="24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</row>
    <row r="245" spans="1:43" ht="12.75">
      <c r="A245" s="62">
        <v>4607116122754</v>
      </c>
      <c r="B245" s="63" t="s">
        <v>453</v>
      </c>
      <c r="C245" s="113" t="s">
        <v>484</v>
      </c>
      <c r="D245" s="106" t="s">
        <v>107</v>
      </c>
      <c r="E245" s="106">
        <v>6</v>
      </c>
      <c r="F245" s="97">
        <v>16.83</v>
      </c>
      <c r="G245" s="67">
        <f>F245-F245*$I$1/100</f>
        <v>16.83</v>
      </c>
      <c r="H245" s="152"/>
      <c r="I245" s="69">
        <f t="shared" si="11"/>
        <v>0</v>
      </c>
      <c r="J245" s="50">
        <f t="shared" si="15"/>
        <v>0</v>
      </c>
      <c r="K245" s="51">
        <f t="shared" si="14"/>
        <v>0</v>
      </c>
      <c r="L245" s="24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</row>
    <row r="246" spans="1:43" ht="12.75">
      <c r="A246" s="62">
        <v>4607116122051</v>
      </c>
      <c r="B246" s="63" t="s">
        <v>453</v>
      </c>
      <c r="C246" s="113" t="s">
        <v>485</v>
      </c>
      <c r="D246" s="106" t="s">
        <v>107</v>
      </c>
      <c r="E246" s="106">
        <v>6</v>
      </c>
      <c r="F246" s="97">
        <v>14.38</v>
      </c>
      <c r="G246" s="67">
        <f>F246-F246*$I$1/100</f>
        <v>14.38</v>
      </c>
      <c r="H246" s="152"/>
      <c r="I246" s="69">
        <f t="shared" si="11"/>
        <v>0</v>
      </c>
      <c r="J246" s="50">
        <f t="shared" si="15"/>
        <v>0</v>
      </c>
      <c r="K246" s="51">
        <f t="shared" si="14"/>
        <v>0</v>
      </c>
      <c r="L246" s="24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</row>
    <row r="247" spans="1:43" ht="12.75">
      <c r="A247" s="62">
        <v>4607116122747</v>
      </c>
      <c r="B247" s="63" t="s">
        <v>453</v>
      </c>
      <c r="C247" s="113" t="s">
        <v>486</v>
      </c>
      <c r="D247" s="106" t="s">
        <v>107</v>
      </c>
      <c r="E247" s="106">
        <v>6</v>
      </c>
      <c r="F247" s="97">
        <v>16.83</v>
      </c>
      <c r="G247" s="67">
        <f>F247-F247*$I$1/100</f>
        <v>16.83</v>
      </c>
      <c r="H247" s="152"/>
      <c r="I247" s="69">
        <f t="shared" si="11"/>
        <v>0</v>
      </c>
      <c r="J247" s="50">
        <f t="shared" si="15"/>
        <v>0</v>
      </c>
      <c r="K247" s="51">
        <f t="shared" si="14"/>
        <v>0</v>
      </c>
      <c r="L247" s="24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</row>
    <row r="248" spans="1:43" ht="12.75">
      <c r="A248" s="62">
        <v>4607116122082</v>
      </c>
      <c r="B248" s="63" t="s">
        <v>453</v>
      </c>
      <c r="C248" s="113" t="s">
        <v>487</v>
      </c>
      <c r="D248" s="106" t="s">
        <v>107</v>
      </c>
      <c r="E248" s="106">
        <v>6</v>
      </c>
      <c r="F248" s="97">
        <v>14.38</v>
      </c>
      <c r="G248" s="67">
        <f>F248-F248*$I$1/100</f>
        <v>14.38</v>
      </c>
      <c r="H248" s="152"/>
      <c r="I248" s="69">
        <f t="shared" si="11"/>
        <v>0</v>
      </c>
      <c r="J248" s="50">
        <f t="shared" si="15"/>
        <v>0</v>
      </c>
      <c r="K248" s="51">
        <f t="shared" si="14"/>
        <v>0</v>
      </c>
      <c r="L248" s="24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</row>
    <row r="249" spans="1:43" ht="12.75">
      <c r="A249" s="62">
        <v>4607116122075</v>
      </c>
      <c r="B249" s="63" t="s">
        <v>453</v>
      </c>
      <c r="C249" s="113" t="s">
        <v>488</v>
      </c>
      <c r="D249" s="106" t="s">
        <v>107</v>
      </c>
      <c r="E249" s="106">
        <v>6</v>
      </c>
      <c r="F249" s="97">
        <v>18.36</v>
      </c>
      <c r="G249" s="67">
        <f>F249-F249*$I$1/100</f>
        <v>18.36</v>
      </c>
      <c r="H249" s="152"/>
      <c r="I249" s="69">
        <f t="shared" si="11"/>
        <v>0</v>
      </c>
      <c r="J249" s="50">
        <f t="shared" si="15"/>
        <v>0</v>
      </c>
      <c r="K249" s="51">
        <f t="shared" si="14"/>
        <v>0</v>
      </c>
      <c r="L249" s="24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</row>
    <row r="250" spans="1:43" ht="12.75">
      <c r="A250" s="62">
        <v>4607116122730</v>
      </c>
      <c r="B250" s="63" t="s">
        <v>453</v>
      </c>
      <c r="C250" s="113" t="s">
        <v>489</v>
      </c>
      <c r="D250" s="106" t="s">
        <v>107</v>
      </c>
      <c r="E250" s="106">
        <v>6</v>
      </c>
      <c r="F250" s="97">
        <v>18.36</v>
      </c>
      <c r="G250" s="67">
        <f>F250-F250*$I$1/100</f>
        <v>18.36</v>
      </c>
      <c r="H250" s="152"/>
      <c r="I250" s="69">
        <f t="shared" si="11"/>
        <v>0</v>
      </c>
      <c r="J250" s="50">
        <f>H250*1.2</f>
        <v>0</v>
      </c>
      <c r="K250" s="51">
        <f t="shared" si="14"/>
        <v>0</v>
      </c>
      <c r="L250" s="24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</row>
    <row r="251" spans="1:43" ht="12.75">
      <c r="A251" s="62">
        <v>4607116122785</v>
      </c>
      <c r="B251" s="63" t="s">
        <v>453</v>
      </c>
      <c r="C251" s="113" t="s">
        <v>490</v>
      </c>
      <c r="D251" s="106" t="s">
        <v>107</v>
      </c>
      <c r="E251" s="106">
        <v>6</v>
      </c>
      <c r="F251" s="97">
        <v>16.83</v>
      </c>
      <c r="G251" s="67">
        <f>F251-F251*$I$1/100</f>
        <v>16.83</v>
      </c>
      <c r="H251" s="152"/>
      <c r="I251" s="69">
        <f t="shared" si="11"/>
        <v>0</v>
      </c>
      <c r="J251" s="50">
        <f>H251*1.2</f>
        <v>0</v>
      </c>
      <c r="K251" s="51">
        <f t="shared" si="14"/>
        <v>0</v>
      </c>
      <c r="L251" s="24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</row>
    <row r="252" spans="1:43" ht="12.75">
      <c r="A252" s="62">
        <v>4607116122693</v>
      </c>
      <c r="B252" s="63" t="s">
        <v>453</v>
      </c>
      <c r="C252" s="113" t="s">
        <v>491</v>
      </c>
      <c r="D252" s="106" t="s">
        <v>105</v>
      </c>
      <c r="E252" s="106">
        <v>6</v>
      </c>
      <c r="F252" s="97">
        <v>15.63</v>
      </c>
      <c r="G252" s="67">
        <f>F252-F252*$I$1/100</f>
        <v>15.63</v>
      </c>
      <c r="H252" s="152"/>
      <c r="I252" s="69">
        <f t="shared" si="11"/>
        <v>0</v>
      </c>
      <c r="J252" s="50">
        <f>H252*1.2</f>
        <v>0</v>
      </c>
      <c r="K252" s="51">
        <f t="shared" si="14"/>
        <v>0</v>
      </c>
      <c r="L252" s="24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</row>
    <row r="253" spans="1:43" ht="12.75">
      <c r="A253" s="62">
        <v>4607116122341</v>
      </c>
      <c r="B253" s="63" t="s">
        <v>453</v>
      </c>
      <c r="C253" s="113" t="s">
        <v>492</v>
      </c>
      <c r="D253" s="106" t="s">
        <v>107</v>
      </c>
      <c r="E253" s="106">
        <v>6</v>
      </c>
      <c r="F253" s="97">
        <v>15.63</v>
      </c>
      <c r="G253" s="67">
        <f>F253-F253*$I$1/100</f>
        <v>15.63</v>
      </c>
      <c r="H253" s="152"/>
      <c r="I253" s="69">
        <f t="shared" si="11"/>
        <v>0</v>
      </c>
      <c r="J253" s="50">
        <f>H253*1.2</f>
        <v>0</v>
      </c>
      <c r="K253" s="51">
        <f t="shared" si="14"/>
        <v>0</v>
      </c>
      <c r="L253" s="24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</row>
    <row r="254" spans="1:43" ht="12.75">
      <c r="A254" s="62">
        <v>4607116122549</v>
      </c>
      <c r="B254" s="63" t="s">
        <v>453</v>
      </c>
      <c r="C254" s="113" t="s">
        <v>493</v>
      </c>
      <c r="D254" s="106" t="s">
        <v>107</v>
      </c>
      <c r="E254" s="106">
        <v>6</v>
      </c>
      <c r="F254" s="97">
        <v>18.36</v>
      </c>
      <c r="G254" s="67">
        <f>F254-F254*$I$1/100</f>
        <v>18.36</v>
      </c>
      <c r="H254" s="152"/>
      <c r="I254" s="69">
        <f t="shared" si="11"/>
        <v>0</v>
      </c>
      <c r="J254" s="50">
        <f>H254*1.2</f>
        <v>0</v>
      </c>
      <c r="K254" s="51">
        <f t="shared" si="14"/>
        <v>0</v>
      </c>
      <c r="L254" s="24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</row>
    <row r="255" spans="1:43" ht="12.75">
      <c r="A255" s="62">
        <v>4607116122068</v>
      </c>
      <c r="B255" s="63" t="s">
        <v>453</v>
      </c>
      <c r="C255" s="113" t="s">
        <v>494</v>
      </c>
      <c r="D255" s="106" t="s">
        <v>107</v>
      </c>
      <c r="E255" s="106">
        <v>6</v>
      </c>
      <c r="F255" s="97">
        <v>16.83</v>
      </c>
      <c r="G255" s="67">
        <f>F255-F255*$I$1/100</f>
        <v>16.83</v>
      </c>
      <c r="H255" s="152"/>
      <c r="I255" s="69">
        <f t="shared" si="11"/>
        <v>0</v>
      </c>
      <c r="J255" s="50">
        <f>H255*1.1166</f>
        <v>0</v>
      </c>
      <c r="K255" s="51">
        <f t="shared" si="14"/>
        <v>0</v>
      </c>
      <c r="L255" s="24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</row>
    <row r="256" spans="1:43" ht="12.75">
      <c r="A256" s="62">
        <v>4607116122839</v>
      </c>
      <c r="B256" s="63" t="s">
        <v>453</v>
      </c>
      <c r="C256" s="113" t="s">
        <v>495</v>
      </c>
      <c r="D256" s="106" t="s">
        <v>107</v>
      </c>
      <c r="E256" s="106">
        <v>6</v>
      </c>
      <c r="F256" s="97">
        <v>18.36</v>
      </c>
      <c r="G256" s="67">
        <f>F256-F256*$I$1/100</f>
        <v>18.36</v>
      </c>
      <c r="H256" s="152"/>
      <c r="I256" s="69">
        <f t="shared" si="11"/>
        <v>0</v>
      </c>
      <c r="J256" s="50">
        <f>H256*1.1166</f>
        <v>0</v>
      </c>
      <c r="K256" s="51">
        <f t="shared" si="14"/>
        <v>0</v>
      </c>
      <c r="L256" s="24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</row>
    <row r="257" spans="1:43" ht="12.75">
      <c r="A257" s="62">
        <v>4607116124093</v>
      </c>
      <c r="B257" s="63" t="s">
        <v>453</v>
      </c>
      <c r="C257" s="113" t="s">
        <v>496</v>
      </c>
      <c r="D257" s="106" t="s">
        <v>107</v>
      </c>
      <c r="E257" s="106">
        <v>6</v>
      </c>
      <c r="F257" s="97">
        <v>15.63</v>
      </c>
      <c r="G257" s="67">
        <f>F257-F257*$I$1/100</f>
        <v>15.63</v>
      </c>
      <c r="H257" s="152"/>
      <c r="I257" s="69">
        <f t="shared" si="11"/>
        <v>0</v>
      </c>
      <c r="J257" s="50">
        <f aca="true" t="shared" si="16" ref="J257:J284">H257*1.2</f>
        <v>0</v>
      </c>
      <c r="K257" s="51">
        <f t="shared" si="14"/>
        <v>0</v>
      </c>
      <c r="L257" s="24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</row>
    <row r="258" spans="1:43" s="9" customFormat="1" ht="12.75">
      <c r="A258" s="62">
        <v>4607116122556</v>
      </c>
      <c r="B258" s="63" t="s">
        <v>453</v>
      </c>
      <c r="C258" s="113" t="s">
        <v>497</v>
      </c>
      <c r="D258" s="106" t="s">
        <v>107</v>
      </c>
      <c r="E258" s="106">
        <v>6</v>
      </c>
      <c r="F258" s="97">
        <v>18.36</v>
      </c>
      <c r="G258" s="67">
        <f>F258-F258*$I$1/100</f>
        <v>18.36</v>
      </c>
      <c r="H258" s="152"/>
      <c r="I258" s="69">
        <f t="shared" si="11"/>
        <v>0</v>
      </c>
      <c r="J258" s="50">
        <f t="shared" si="16"/>
        <v>0</v>
      </c>
      <c r="K258" s="51">
        <f t="shared" si="14"/>
        <v>0</v>
      </c>
      <c r="L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</row>
    <row r="259" spans="1:43" s="9" customFormat="1" ht="12.75">
      <c r="A259" s="62">
        <v>4607116124109</v>
      </c>
      <c r="B259" s="63" t="s">
        <v>453</v>
      </c>
      <c r="C259" s="113" t="s">
        <v>498</v>
      </c>
      <c r="D259" s="106" t="s">
        <v>107</v>
      </c>
      <c r="E259" s="106">
        <v>6</v>
      </c>
      <c r="F259" s="97">
        <v>14.38</v>
      </c>
      <c r="G259" s="67">
        <f>F259-F259*$I$1/100</f>
        <v>14.38</v>
      </c>
      <c r="H259" s="152"/>
      <c r="I259" s="69">
        <f t="shared" si="11"/>
        <v>0</v>
      </c>
      <c r="J259" s="50">
        <f t="shared" si="16"/>
        <v>0</v>
      </c>
      <c r="K259" s="51">
        <f t="shared" si="14"/>
        <v>0</v>
      </c>
      <c r="L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</row>
    <row r="260" spans="1:43" s="9" customFormat="1" ht="12.75">
      <c r="A260" s="62">
        <v>4607116122044</v>
      </c>
      <c r="B260" s="63" t="s">
        <v>453</v>
      </c>
      <c r="C260" s="113" t="s">
        <v>499</v>
      </c>
      <c r="D260" s="106" t="s">
        <v>107</v>
      </c>
      <c r="E260" s="106">
        <v>6</v>
      </c>
      <c r="F260" s="97">
        <v>14.38</v>
      </c>
      <c r="G260" s="67">
        <f>F260-F260*$I$1/100</f>
        <v>14.38</v>
      </c>
      <c r="H260" s="152"/>
      <c r="I260" s="69">
        <f t="shared" si="11"/>
        <v>0</v>
      </c>
      <c r="J260" s="50">
        <f t="shared" si="16"/>
        <v>0</v>
      </c>
      <c r="K260" s="51">
        <f t="shared" si="14"/>
        <v>0</v>
      </c>
      <c r="L260" s="24"/>
      <c r="M260" s="7"/>
      <c r="N260" s="7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</row>
    <row r="261" spans="1:43" s="9" customFormat="1" ht="12.75">
      <c r="A261" s="62">
        <v>4607116122761</v>
      </c>
      <c r="B261" s="63" t="s">
        <v>453</v>
      </c>
      <c r="C261" s="113" t="s">
        <v>500</v>
      </c>
      <c r="D261" s="106" t="s">
        <v>107</v>
      </c>
      <c r="E261" s="106">
        <v>6</v>
      </c>
      <c r="F261" s="97">
        <v>15.63</v>
      </c>
      <c r="G261" s="67">
        <f>F261-F261*$I$1/100</f>
        <v>15.63</v>
      </c>
      <c r="H261" s="152"/>
      <c r="I261" s="69">
        <f t="shared" si="11"/>
        <v>0</v>
      </c>
      <c r="J261" s="50">
        <f t="shared" si="16"/>
        <v>0</v>
      </c>
      <c r="K261" s="51">
        <f t="shared" si="14"/>
        <v>0</v>
      </c>
      <c r="L261" s="24"/>
      <c r="M261" s="7"/>
      <c r="N261" s="7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</row>
    <row r="262" spans="1:43" s="9" customFormat="1" ht="12.75">
      <c r="A262" s="62">
        <v>4607116122037</v>
      </c>
      <c r="B262" s="63" t="s">
        <v>453</v>
      </c>
      <c r="C262" s="113" t="s">
        <v>501</v>
      </c>
      <c r="D262" s="106" t="s">
        <v>107</v>
      </c>
      <c r="E262" s="106">
        <v>6</v>
      </c>
      <c r="F262" s="97">
        <v>14.38</v>
      </c>
      <c r="G262" s="67">
        <f>F262-F262*$I$1/100</f>
        <v>14.38</v>
      </c>
      <c r="H262" s="152"/>
      <c r="I262" s="69">
        <f t="shared" si="11"/>
        <v>0</v>
      </c>
      <c r="J262" s="50">
        <f t="shared" si="16"/>
        <v>0</v>
      </c>
      <c r="K262" s="51">
        <f t="shared" si="14"/>
        <v>0</v>
      </c>
      <c r="L262" s="24"/>
      <c r="M262" s="7"/>
      <c r="N262" s="7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</row>
    <row r="263" spans="1:43" s="18" customFormat="1" ht="12.75">
      <c r="A263" s="62">
        <v>4607116122716</v>
      </c>
      <c r="B263" s="63" t="s">
        <v>453</v>
      </c>
      <c r="C263" s="113" t="s">
        <v>502</v>
      </c>
      <c r="D263" s="106" t="s">
        <v>107</v>
      </c>
      <c r="E263" s="106">
        <v>6</v>
      </c>
      <c r="F263" s="97">
        <v>18.36</v>
      </c>
      <c r="G263" s="67">
        <f>F263-F263*$I$1/100</f>
        <v>18.36</v>
      </c>
      <c r="H263" s="68"/>
      <c r="I263" s="69">
        <f>G263*H263</f>
        <v>0</v>
      </c>
      <c r="J263" s="50">
        <f>H263*1.2</f>
        <v>0</v>
      </c>
      <c r="K263" s="51">
        <f>H263*0.8</f>
        <v>0</v>
      </c>
      <c r="L263" s="24"/>
      <c r="M263" s="25"/>
      <c r="N263" s="25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</row>
    <row r="264" spans="1:43" ht="12.75">
      <c r="A264" s="62">
        <v>4607116121986</v>
      </c>
      <c r="B264" s="63" t="s">
        <v>453</v>
      </c>
      <c r="C264" s="113" t="s">
        <v>503</v>
      </c>
      <c r="D264" s="106" t="s">
        <v>105</v>
      </c>
      <c r="E264" s="106">
        <v>6</v>
      </c>
      <c r="F264" s="97">
        <v>14.38</v>
      </c>
      <c r="G264" s="67">
        <f>F264-F264*$I$1/100</f>
        <v>14.38</v>
      </c>
      <c r="H264" s="152"/>
      <c r="I264" s="69">
        <f t="shared" si="11"/>
        <v>0</v>
      </c>
      <c r="J264" s="50">
        <f t="shared" si="16"/>
        <v>0</v>
      </c>
      <c r="K264" s="51">
        <f t="shared" si="14"/>
        <v>0</v>
      </c>
      <c r="L264" s="24"/>
      <c r="M264" s="7"/>
      <c r="N264" s="7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</row>
    <row r="265" spans="1:43" ht="12.75">
      <c r="A265" s="62">
        <v>4607116124116</v>
      </c>
      <c r="B265" s="63" t="s">
        <v>453</v>
      </c>
      <c r="C265" s="113" t="s">
        <v>504</v>
      </c>
      <c r="D265" s="106" t="s">
        <v>107</v>
      </c>
      <c r="E265" s="106">
        <v>6</v>
      </c>
      <c r="F265" s="97">
        <v>18.36</v>
      </c>
      <c r="G265" s="67">
        <f>F265-F265*$I$1/100</f>
        <v>18.36</v>
      </c>
      <c r="H265" s="152"/>
      <c r="I265" s="69">
        <f t="shared" si="11"/>
        <v>0</v>
      </c>
      <c r="J265" s="50">
        <f t="shared" si="16"/>
        <v>0</v>
      </c>
      <c r="K265" s="51">
        <f t="shared" si="14"/>
        <v>0</v>
      </c>
      <c r="L265" s="24"/>
      <c r="M265" s="7"/>
      <c r="N265" s="7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</row>
    <row r="266" spans="1:43" ht="12.75">
      <c r="A266" s="62">
        <v>4607116124123</v>
      </c>
      <c r="B266" s="63" t="s">
        <v>453</v>
      </c>
      <c r="C266" s="113" t="s">
        <v>505</v>
      </c>
      <c r="D266" s="106" t="s">
        <v>107</v>
      </c>
      <c r="E266" s="106">
        <v>6</v>
      </c>
      <c r="F266" s="97">
        <v>18.36</v>
      </c>
      <c r="G266" s="67">
        <f>F266-F266*$I$1/100</f>
        <v>18.36</v>
      </c>
      <c r="H266" s="152"/>
      <c r="I266" s="69">
        <f t="shared" si="11"/>
        <v>0</v>
      </c>
      <c r="J266" s="50">
        <f t="shared" si="16"/>
        <v>0</v>
      </c>
      <c r="K266" s="51">
        <f t="shared" si="14"/>
        <v>0</v>
      </c>
      <c r="L266" s="24"/>
      <c r="M266" s="7"/>
      <c r="N266" s="7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</row>
    <row r="267" spans="1:43" ht="12.75">
      <c r="A267" s="62">
        <v>4607116124130</v>
      </c>
      <c r="B267" s="63" t="s">
        <v>453</v>
      </c>
      <c r="C267" s="113" t="s">
        <v>506</v>
      </c>
      <c r="D267" s="106" t="s">
        <v>107</v>
      </c>
      <c r="E267" s="106">
        <v>6</v>
      </c>
      <c r="F267" s="97">
        <v>14.38</v>
      </c>
      <c r="G267" s="67">
        <f>F267-F267*$I$1/100</f>
        <v>14.38</v>
      </c>
      <c r="H267" s="152"/>
      <c r="I267" s="69">
        <f t="shared" si="11"/>
        <v>0</v>
      </c>
      <c r="J267" s="50">
        <f t="shared" si="16"/>
        <v>0</v>
      </c>
      <c r="K267" s="51">
        <f t="shared" si="14"/>
        <v>0</v>
      </c>
      <c r="L267" s="24"/>
      <c r="M267" s="7"/>
      <c r="N267" s="7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</row>
    <row r="268" spans="1:43" ht="12.75">
      <c r="A268" s="62">
        <v>4607116124147</v>
      </c>
      <c r="B268" s="63" t="s">
        <v>453</v>
      </c>
      <c r="C268" s="113" t="s">
        <v>507</v>
      </c>
      <c r="D268" s="106" t="s">
        <v>107</v>
      </c>
      <c r="E268" s="106">
        <v>6</v>
      </c>
      <c r="F268" s="97">
        <v>15.63</v>
      </c>
      <c r="G268" s="67">
        <f>F268-F268*$I$1/100</f>
        <v>15.63</v>
      </c>
      <c r="H268" s="152"/>
      <c r="I268" s="69">
        <f t="shared" si="11"/>
        <v>0</v>
      </c>
      <c r="J268" s="50">
        <f t="shared" si="16"/>
        <v>0</v>
      </c>
      <c r="K268" s="51">
        <f t="shared" si="14"/>
        <v>0</v>
      </c>
      <c r="L268" s="24"/>
      <c r="M268" s="7"/>
      <c r="N268" s="7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</row>
    <row r="269" spans="1:43" ht="12.75">
      <c r="A269" s="62">
        <v>4607116124154</v>
      </c>
      <c r="B269" s="63" t="s">
        <v>453</v>
      </c>
      <c r="C269" s="113" t="s">
        <v>508</v>
      </c>
      <c r="D269" s="106" t="s">
        <v>107</v>
      </c>
      <c r="E269" s="106">
        <v>6</v>
      </c>
      <c r="F269" s="97">
        <v>19.57</v>
      </c>
      <c r="G269" s="67">
        <f>F269-F269*$I$1/100</f>
        <v>19.57</v>
      </c>
      <c r="H269" s="152"/>
      <c r="I269" s="69">
        <f t="shared" si="11"/>
        <v>0</v>
      </c>
      <c r="J269" s="50">
        <f t="shared" si="16"/>
        <v>0</v>
      </c>
      <c r="K269" s="51">
        <f t="shared" si="14"/>
        <v>0</v>
      </c>
      <c r="L269" s="24"/>
      <c r="M269" s="7"/>
      <c r="N269" s="7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</row>
    <row r="270" spans="1:43" ht="12.75">
      <c r="A270" s="62">
        <v>4607116124161</v>
      </c>
      <c r="B270" s="63" t="s">
        <v>453</v>
      </c>
      <c r="C270" s="113" t="s">
        <v>509</v>
      </c>
      <c r="D270" s="106" t="s">
        <v>107</v>
      </c>
      <c r="E270" s="106">
        <v>6</v>
      </c>
      <c r="F270" s="97">
        <v>16.83</v>
      </c>
      <c r="G270" s="67">
        <f>F270-F270*$I$1/100</f>
        <v>16.83</v>
      </c>
      <c r="H270" s="152"/>
      <c r="I270" s="69">
        <f t="shared" si="11"/>
        <v>0</v>
      </c>
      <c r="J270" s="50">
        <f t="shared" si="16"/>
        <v>0</v>
      </c>
      <c r="K270" s="51">
        <f t="shared" si="14"/>
        <v>0</v>
      </c>
      <c r="L270" s="24"/>
      <c r="M270" s="7"/>
      <c r="N270" s="7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</row>
    <row r="271" spans="1:43" ht="12.75">
      <c r="A271" s="62">
        <v>4630163680724</v>
      </c>
      <c r="B271" s="63" t="s">
        <v>453</v>
      </c>
      <c r="C271" s="145" t="s">
        <v>510</v>
      </c>
      <c r="D271" s="106" t="s">
        <v>107</v>
      </c>
      <c r="E271" s="106">
        <v>6</v>
      </c>
      <c r="F271" s="97">
        <v>14.38</v>
      </c>
      <c r="G271" s="67">
        <f>F271-F271*$I$1/100</f>
        <v>14.38</v>
      </c>
      <c r="H271" s="152"/>
      <c r="I271" s="69">
        <f t="shared" si="11"/>
        <v>0</v>
      </c>
      <c r="J271" s="50">
        <f t="shared" si="16"/>
        <v>0</v>
      </c>
      <c r="K271" s="51">
        <f t="shared" si="14"/>
        <v>0</v>
      </c>
      <c r="L271" s="24"/>
      <c r="M271" s="7"/>
      <c r="N271" s="7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</row>
    <row r="272" spans="1:43" ht="12.75">
      <c r="A272" s="62">
        <v>4607116124178</v>
      </c>
      <c r="B272" s="63" t="s">
        <v>453</v>
      </c>
      <c r="C272" s="113" t="s">
        <v>511</v>
      </c>
      <c r="D272" s="106" t="s">
        <v>107</v>
      </c>
      <c r="E272" s="106">
        <v>6</v>
      </c>
      <c r="F272" s="97">
        <v>16.83</v>
      </c>
      <c r="G272" s="67">
        <f>F272-F272*$I$1/100</f>
        <v>16.83</v>
      </c>
      <c r="H272" s="152"/>
      <c r="I272" s="69">
        <f t="shared" si="11"/>
        <v>0</v>
      </c>
      <c r="J272" s="50">
        <f t="shared" si="16"/>
        <v>0</v>
      </c>
      <c r="K272" s="51">
        <f t="shared" si="14"/>
        <v>0</v>
      </c>
      <c r="L272" s="24"/>
      <c r="M272" s="7"/>
      <c r="N272" s="7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</row>
    <row r="273" spans="1:43" ht="12.75">
      <c r="A273" s="62">
        <v>4607116124185</v>
      </c>
      <c r="B273" s="63" t="s">
        <v>453</v>
      </c>
      <c r="C273" s="113" t="s">
        <v>512</v>
      </c>
      <c r="D273" s="106" t="s">
        <v>107</v>
      </c>
      <c r="E273" s="106">
        <v>6</v>
      </c>
      <c r="F273" s="97">
        <v>14.38</v>
      </c>
      <c r="G273" s="67">
        <f>F273-F273*$I$1/100</f>
        <v>14.38</v>
      </c>
      <c r="H273" s="152"/>
      <c r="I273" s="69">
        <f>G273*H273</f>
        <v>0</v>
      </c>
      <c r="J273" s="50">
        <f>H273*1.2</f>
        <v>0</v>
      </c>
      <c r="K273" s="51">
        <f>H273*1</f>
        <v>0</v>
      </c>
      <c r="L273" s="24"/>
      <c r="M273" s="7"/>
      <c r="N273" s="7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</row>
    <row r="274" spans="1:43" ht="12.75">
      <c r="A274" s="62">
        <v>4607116124192</v>
      </c>
      <c r="B274" s="63" t="s">
        <v>453</v>
      </c>
      <c r="C274" s="113" t="s">
        <v>513</v>
      </c>
      <c r="D274" s="106" t="s">
        <v>107</v>
      </c>
      <c r="E274" s="106">
        <v>6</v>
      </c>
      <c r="F274" s="97">
        <v>14.38</v>
      </c>
      <c r="G274" s="67">
        <f>F274-F274*$I$1/100</f>
        <v>14.38</v>
      </c>
      <c r="H274" s="152"/>
      <c r="I274" s="69">
        <f t="shared" si="11"/>
        <v>0</v>
      </c>
      <c r="J274" s="50">
        <f>H274*1.1166</f>
        <v>0</v>
      </c>
      <c r="K274" s="51">
        <f t="shared" si="14"/>
        <v>0</v>
      </c>
      <c r="L274" s="24"/>
      <c r="M274" s="7"/>
      <c r="N274" s="7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</row>
    <row r="275" spans="1:43" ht="12.75">
      <c r="A275" s="62">
        <v>4607116124246</v>
      </c>
      <c r="B275" s="63" t="s">
        <v>453</v>
      </c>
      <c r="C275" s="113" t="s">
        <v>514</v>
      </c>
      <c r="D275" s="106" t="s">
        <v>107</v>
      </c>
      <c r="E275" s="106">
        <v>6</v>
      </c>
      <c r="F275" s="97">
        <v>14.38</v>
      </c>
      <c r="G275" s="67">
        <f>F275-F275*$I$1/100</f>
        <v>14.38</v>
      </c>
      <c r="H275" s="152"/>
      <c r="I275" s="69">
        <f t="shared" si="11"/>
        <v>0</v>
      </c>
      <c r="J275" s="50">
        <f t="shared" si="16"/>
        <v>0</v>
      </c>
      <c r="K275" s="51">
        <f t="shared" si="14"/>
        <v>0</v>
      </c>
      <c r="L275" s="24"/>
      <c r="M275" s="7"/>
      <c r="N275" s="7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</row>
    <row r="276" spans="1:43" ht="12.75">
      <c r="A276" s="62">
        <v>4607116124222</v>
      </c>
      <c r="B276" s="63" t="s">
        <v>453</v>
      </c>
      <c r="C276" s="113" t="s">
        <v>515</v>
      </c>
      <c r="D276" s="106" t="s">
        <v>107</v>
      </c>
      <c r="E276" s="106">
        <v>6</v>
      </c>
      <c r="F276" s="97">
        <v>16.83</v>
      </c>
      <c r="G276" s="67">
        <f>F276-F276*$I$1/100</f>
        <v>16.83</v>
      </c>
      <c r="H276" s="152"/>
      <c r="I276" s="69">
        <f t="shared" si="11"/>
        <v>0</v>
      </c>
      <c r="J276" s="50">
        <f>H276*1.3666</f>
        <v>0</v>
      </c>
      <c r="K276" s="51">
        <f t="shared" si="14"/>
        <v>0</v>
      </c>
      <c r="L276" s="24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</row>
    <row r="277" spans="1:43" ht="12.75">
      <c r="A277" s="62">
        <v>4607116124253</v>
      </c>
      <c r="B277" s="63" t="s">
        <v>453</v>
      </c>
      <c r="C277" s="113" t="s">
        <v>516</v>
      </c>
      <c r="D277" s="106" t="s">
        <v>107</v>
      </c>
      <c r="E277" s="106">
        <v>6</v>
      </c>
      <c r="F277" s="97">
        <v>16.83</v>
      </c>
      <c r="G277" s="67">
        <f>F277-F277*$I$1/100</f>
        <v>16.83</v>
      </c>
      <c r="H277" s="152"/>
      <c r="I277" s="69">
        <f t="shared" si="11"/>
        <v>0</v>
      </c>
      <c r="J277" s="50">
        <f t="shared" si="16"/>
        <v>0</v>
      </c>
      <c r="K277" s="51">
        <f t="shared" si="14"/>
        <v>0</v>
      </c>
      <c r="L277" s="24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</row>
    <row r="278" spans="1:43" ht="12.75">
      <c r="A278" s="62">
        <v>4607116124260</v>
      </c>
      <c r="B278" s="63" t="s">
        <v>453</v>
      </c>
      <c r="C278" s="113" t="s">
        <v>517</v>
      </c>
      <c r="D278" s="106" t="s">
        <v>107</v>
      </c>
      <c r="E278" s="106">
        <v>6</v>
      </c>
      <c r="F278" s="97">
        <v>15.63</v>
      </c>
      <c r="G278" s="67">
        <f>F278-F278*$I$1/100</f>
        <v>15.63</v>
      </c>
      <c r="H278" s="152"/>
      <c r="I278" s="69">
        <f t="shared" si="11"/>
        <v>0</v>
      </c>
      <c r="J278" s="50">
        <f t="shared" si="16"/>
        <v>0</v>
      </c>
      <c r="K278" s="51">
        <f t="shared" si="14"/>
        <v>0</v>
      </c>
      <c r="L278" s="24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</row>
    <row r="279" spans="1:43" ht="12.75">
      <c r="A279" s="62">
        <v>4607116124208</v>
      </c>
      <c r="B279" s="63" t="s">
        <v>453</v>
      </c>
      <c r="C279" s="113" t="s">
        <v>518</v>
      </c>
      <c r="D279" s="106" t="s">
        <v>107</v>
      </c>
      <c r="E279" s="106">
        <v>6</v>
      </c>
      <c r="F279" s="97">
        <v>14.38</v>
      </c>
      <c r="G279" s="67">
        <f>F279-F279*$I$1/100</f>
        <v>14.38</v>
      </c>
      <c r="H279" s="152"/>
      <c r="I279" s="69">
        <f>G279*H279</f>
        <v>0</v>
      </c>
      <c r="J279" s="50">
        <f t="shared" si="16"/>
        <v>0</v>
      </c>
      <c r="K279" s="51">
        <f t="shared" si="14"/>
        <v>0</v>
      </c>
      <c r="L279" s="24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</row>
    <row r="280" spans="1:43" ht="12.75">
      <c r="A280" s="62">
        <v>4630163680717</v>
      </c>
      <c r="B280" s="63" t="s">
        <v>453</v>
      </c>
      <c r="C280" s="113" t="s">
        <v>519</v>
      </c>
      <c r="D280" s="106" t="s">
        <v>107</v>
      </c>
      <c r="E280" s="106">
        <v>6</v>
      </c>
      <c r="F280" s="97">
        <v>16.83</v>
      </c>
      <c r="G280" s="67">
        <f>F280-F280*$I$1/100</f>
        <v>16.83</v>
      </c>
      <c r="H280" s="152"/>
      <c r="I280" s="98">
        <f>G280*H280</f>
        <v>0</v>
      </c>
      <c r="J280" s="101">
        <f>H280*0.95</f>
        <v>0</v>
      </c>
      <c r="K280" s="51">
        <f t="shared" si="14"/>
        <v>0</v>
      </c>
      <c r="L280" s="24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</row>
    <row r="281" spans="1:43" ht="12.75">
      <c r="A281" s="62">
        <v>4607116124215</v>
      </c>
      <c r="B281" s="63" t="s">
        <v>453</v>
      </c>
      <c r="C281" s="113" t="s">
        <v>520</v>
      </c>
      <c r="D281" s="106" t="s">
        <v>107</v>
      </c>
      <c r="E281" s="106">
        <v>6</v>
      </c>
      <c r="F281" s="97">
        <v>14.38</v>
      </c>
      <c r="G281" s="67">
        <f>F281-F281*$I$1/100</f>
        <v>14.38</v>
      </c>
      <c r="H281" s="152"/>
      <c r="I281" s="98">
        <f>G281*H281</f>
        <v>0</v>
      </c>
      <c r="J281" s="101">
        <f t="shared" si="16"/>
        <v>0</v>
      </c>
      <c r="K281" s="51">
        <f t="shared" si="14"/>
        <v>0</v>
      </c>
      <c r="L281" s="24"/>
      <c r="M281" s="7"/>
      <c r="N281" s="7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</row>
    <row r="282" spans="1:43" ht="12.75">
      <c r="A282" s="62">
        <v>4607116124239</v>
      </c>
      <c r="B282" s="63" t="s">
        <v>453</v>
      </c>
      <c r="C282" s="113" t="s">
        <v>521</v>
      </c>
      <c r="D282" s="106" t="s">
        <v>107</v>
      </c>
      <c r="E282" s="106">
        <v>6</v>
      </c>
      <c r="F282" s="97">
        <v>16.83</v>
      </c>
      <c r="G282" s="67">
        <f>F282-F282*$I$1/100</f>
        <v>16.83</v>
      </c>
      <c r="H282" s="152"/>
      <c r="I282" s="98">
        <f>G282*H282</f>
        <v>0</v>
      </c>
      <c r="J282" s="101">
        <f t="shared" si="16"/>
        <v>0</v>
      </c>
      <c r="K282" s="51">
        <f t="shared" si="14"/>
        <v>0</v>
      </c>
      <c r="L282" s="24"/>
      <c r="M282" s="7"/>
      <c r="N282" s="7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</row>
    <row r="283" spans="1:43" ht="12.75">
      <c r="A283" s="62">
        <v>4607116124277</v>
      </c>
      <c r="B283" s="63" t="s">
        <v>453</v>
      </c>
      <c r="C283" s="113" t="s">
        <v>522</v>
      </c>
      <c r="D283" s="106" t="s">
        <v>107</v>
      </c>
      <c r="E283" s="106">
        <v>6</v>
      </c>
      <c r="F283" s="97">
        <v>14.38</v>
      </c>
      <c r="G283" s="67">
        <f>F283-F283*$I$1/100</f>
        <v>14.38</v>
      </c>
      <c r="H283" s="152"/>
      <c r="I283" s="98">
        <f>G283*H283</f>
        <v>0</v>
      </c>
      <c r="J283" s="101">
        <f t="shared" si="16"/>
        <v>0</v>
      </c>
      <c r="K283" s="51">
        <f t="shared" si="14"/>
        <v>0</v>
      </c>
      <c r="L283" s="24"/>
      <c r="M283" s="7"/>
      <c r="N283" s="7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</row>
    <row r="284" spans="1:43" ht="12.75">
      <c r="A284" s="62">
        <v>4630163684555</v>
      </c>
      <c r="B284" s="63" t="s">
        <v>453</v>
      </c>
      <c r="C284" s="113" t="s">
        <v>523</v>
      </c>
      <c r="D284" s="106" t="s">
        <v>107</v>
      </c>
      <c r="E284" s="106">
        <v>6</v>
      </c>
      <c r="F284" s="97">
        <v>14.38</v>
      </c>
      <c r="G284" s="67">
        <f>F284-F284*$I$1/100</f>
        <v>14.38</v>
      </c>
      <c r="H284" s="152"/>
      <c r="I284" s="98">
        <f>G284*H284</f>
        <v>0</v>
      </c>
      <c r="J284" s="101">
        <f t="shared" si="16"/>
        <v>0</v>
      </c>
      <c r="K284" s="51">
        <f t="shared" si="14"/>
        <v>0</v>
      </c>
      <c r="L284" s="24"/>
      <c r="M284" s="7"/>
      <c r="N284" s="7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</row>
    <row r="285" spans="1:43" ht="12.75">
      <c r="A285" s="62">
        <v>4607116121399</v>
      </c>
      <c r="B285" s="63" t="s">
        <v>453</v>
      </c>
      <c r="C285" s="113" t="s">
        <v>524</v>
      </c>
      <c r="D285" s="106" t="s">
        <v>107</v>
      </c>
      <c r="E285" s="106">
        <v>6</v>
      </c>
      <c r="F285" s="97">
        <v>14.38</v>
      </c>
      <c r="G285" s="67">
        <f>F285-F285*$I$1/100</f>
        <v>14.38</v>
      </c>
      <c r="H285" s="152"/>
      <c r="I285" s="98">
        <f>G285*H285</f>
        <v>0</v>
      </c>
      <c r="J285" s="101">
        <f>H285*1.2</f>
        <v>0</v>
      </c>
      <c r="K285" s="51">
        <f>H285*1</f>
        <v>0</v>
      </c>
      <c r="L285" s="24"/>
      <c r="M285" s="7"/>
      <c r="N285" s="7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</row>
    <row r="286" spans="1:43" s="9" customFormat="1" ht="13.5">
      <c r="A286" s="62">
        <v>4607116123232</v>
      </c>
      <c r="B286" s="63" t="s">
        <v>525</v>
      </c>
      <c r="C286" s="113" t="s">
        <v>526</v>
      </c>
      <c r="D286" s="106" t="s">
        <v>74</v>
      </c>
      <c r="E286" s="106">
        <v>6</v>
      </c>
      <c r="F286" s="97">
        <v>7.65</v>
      </c>
      <c r="G286" s="72">
        <f>F286-F286*$I$1/100</f>
        <v>7.65</v>
      </c>
      <c r="H286" s="68"/>
      <c r="I286" s="69">
        <f>G286*H286</f>
        <v>0</v>
      </c>
      <c r="J286" s="50">
        <f>H286*0.5416</f>
        <v>0</v>
      </c>
      <c r="K286" s="51">
        <f>H286*0.5</f>
        <v>0</v>
      </c>
      <c r="L286" s="24"/>
      <c r="M286" s="73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</row>
    <row r="287" spans="1:43" s="16" customFormat="1" ht="18" customHeight="1">
      <c r="A287" s="32" t="s">
        <v>527</v>
      </c>
      <c r="B287" s="32"/>
      <c r="C287" s="32"/>
      <c r="D287" s="32"/>
      <c r="E287" s="32"/>
      <c r="F287" s="32"/>
      <c r="G287" s="32"/>
      <c r="H287" s="32"/>
      <c r="I287" s="87"/>
      <c r="J287" s="88"/>
      <c r="K287" s="89"/>
      <c r="L287" s="24"/>
      <c r="M287" s="25"/>
      <c r="N287" s="25"/>
      <c r="O287" s="142"/>
      <c r="P287" s="142"/>
      <c r="Q287" s="142"/>
      <c r="R287" s="142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</row>
    <row r="288" spans="1:39" ht="12.75">
      <c r="A288" s="62">
        <v>4607116124314</v>
      </c>
      <c r="B288" s="63" t="s">
        <v>528</v>
      </c>
      <c r="C288" s="113" t="s">
        <v>529</v>
      </c>
      <c r="D288" s="106" t="s">
        <v>325</v>
      </c>
      <c r="E288" s="106">
        <v>6</v>
      </c>
      <c r="F288" s="97">
        <v>7.47</v>
      </c>
      <c r="G288" s="67">
        <f>F288-F288*$I$1/100</f>
        <v>7.47</v>
      </c>
      <c r="H288" s="68"/>
      <c r="I288" s="69">
        <f aca="true" t="shared" si="17" ref="I288:I339">G288*H288</f>
        <v>0</v>
      </c>
      <c r="J288" s="50">
        <f aca="true" t="shared" si="18" ref="J288:J316">H288*0.95</f>
        <v>0</v>
      </c>
      <c r="K288" s="51">
        <f aca="true" t="shared" si="19" ref="K288:K316">H288*0.8</f>
        <v>0</v>
      </c>
      <c r="L288" s="24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</row>
    <row r="289" spans="1:39" ht="12.75">
      <c r="A289" s="62">
        <v>4607116124321</v>
      </c>
      <c r="B289" s="63" t="s">
        <v>528</v>
      </c>
      <c r="C289" s="113" t="s">
        <v>530</v>
      </c>
      <c r="D289" s="106" t="s">
        <v>325</v>
      </c>
      <c r="E289" s="106">
        <v>6</v>
      </c>
      <c r="F289" s="97">
        <v>9.17</v>
      </c>
      <c r="G289" s="67">
        <f>F289-F289*$I$1/100</f>
        <v>9.17</v>
      </c>
      <c r="H289" s="68"/>
      <c r="I289" s="69">
        <f t="shared" si="17"/>
        <v>0</v>
      </c>
      <c r="J289" s="50">
        <f t="shared" si="18"/>
        <v>0</v>
      </c>
      <c r="K289" s="51">
        <f t="shared" si="19"/>
        <v>0</v>
      </c>
      <c r="L289" s="24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</row>
    <row r="290" spans="1:39" ht="12.75">
      <c r="A290" s="62">
        <v>4607116121597</v>
      </c>
      <c r="B290" s="63" t="s">
        <v>528</v>
      </c>
      <c r="C290" s="113" t="s">
        <v>531</v>
      </c>
      <c r="D290" s="106" t="s">
        <v>325</v>
      </c>
      <c r="E290" s="106">
        <v>6</v>
      </c>
      <c r="F290" s="97">
        <v>7.47</v>
      </c>
      <c r="G290" s="67">
        <f>F290-F290*$I$1/100</f>
        <v>7.47</v>
      </c>
      <c r="H290" s="68"/>
      <c r="I290" s="69">
        <f t="shared" si="17"/>
        <v>0</v>
      </c>
      <c r="J290" s="50">
        <f t="shared" si="18"/>
        <v>0</v>
      </c>
      <c r="K290" s="51">
        <f t="shared" si="19"/>
        <v>0</v>
      </c>
      <c r="L290" s="24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</row>
    <row r="291" spans="1:39" ht="12.75">
      <c r="A291" s="62">
        <v>4607116121535</v>
      </c>
      <c r="B291" s="63" t="s">
        <v>528</v>
      </c>
      <c r="C291" s="113" t="s">
        <v>532</v>
      </c>
      <c r="D291" s="106" t="s">
        <v>325</v>
      </c>
      <c r="E291" s="106">
        <v>6</v>
      </c>
      <c r="F291" s="97">
        <v>7.47</v>
      </c>
      <c r="G291" s="67">
        <f>F291-F291*$I$1/100</f>
        <v>7.47</v>
      </c>
      <c r="H291" s="68"/>
      <c r="I291" s="69">
        <f t="shared" si="17"/>
        <v>0</v>
      </c>
      <c r="J291" s="50">
        <f t="shared" si="18"/>
        <v>0</v>
      </c>
      <c r="K291" s="51">
        <f t="shared" si="19"/>
        <v>0</v>
      </c>
      <c r="L291" s="24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</row>
    <row r="292" spans="1:39" ht="12.75">
      <c r="A292" s="62">
        <v>4607116121573</v>
      </c>
      <c r="B292" s="63" t="s">
        <v>528</v>
      </c>
      <c r="C292" s="113" t="s">
        <v>533</v>
      </c>
      <c r="D292" s="106" t="s">
        <v>325</v>
      </c>
      <c r="E292" s="106">
        <v>6</v>
      </c>
      <c r="F292" s="97">
        <v>10.56</v>
      </c>
      <c r="G292" s="67">
        <f>F292-F292*$I$1/100</f>
        <v>10.56</v>
      </c>
      <c r="H292" s="68"/>
      <c r="I292" s="69">
        <f t="shared" si="17"/>
        <v>0</v>
      </c>
      <c r="J292" s="50">
        <f t="shared" si="18"/>
        <v>0</v>
      </c>
      <c r="K292" s="51">
        <f t="shared" si="19"/>
        <v>0</v>
      </c>
      <c r="L292" s="24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</row>
    <row r="293" spans="1:39" ht="12.75">
      <c r="A293" s="62">
        <v>4607116121511</v>
      </c>
      <c r="B293" s="63" t="s">
        <v>528</v>
      </c>
      <c r="C293" s="113" t="s">
        <v>534</v>
      </c>
      <c r="D293" s="106" t="s">
        <v>325</v>
      </c>
      <c r="E293" s="106">
        <v>6</v>
      </c>
      <c r="F293" s="97">
        <v>10.56</v>
      </c>
      <c r="G293" s="67">
        <f>F293-F293*$I$1/100</f>
        <v>10.56</v>
      </c>
      <c r="H293" s="68"/>
      <c r="I293" s="69">
        <f t="shared" si="17"/>
        <v>0</v>
      </c>
      <c r="J293" s="50">
        <f t="shared" si="18"/>
        <v>0</v>
      </c>
      <c r="K293" s="51">
        <f t="shared" si="19"/>
        <v>0</v>
      </c>
      <c r="L293" s="24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</row>
    <row r="294" spans="1:39" ht="12.75">
      <c r="A294" s="62">
        <v>4607116121580</v>
      </c>
      <c r="B294" s="63" t="s">
        <v>528</v>
      </c>
      <c r="C294" s="113" t="s">
        <v>535</v>
      </c>
      <c r="D294" s="106" t="s">
        <v>325</v>
      </c>
      <c r="E294" s="106">
        <v>6</v>
      </c>
      <c r="F294" s="97">
        <v>10.56</v>
      </c>
      <c r="G294" s="67">
        <f>F294-F294*$I$1/100</f>
        <v>10.56</v>
      </c>
      <c r="H294" s="68"/>
      <c r="I294" s="69">
        <f t="shared" si="17"/>
        <v>0</v>
      </c>
      <c r="J294" s="50">
        <f t="shared" si="18"/>
        <v>0</v>
      </c>
      <c r="K294" s="51">
        <f t="shared" si="19"/>
        <v>0</v>
      </c>
      <c r="L294" s="24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</row>
    <row r="295" spans="1:39" ht="12.75">
      <c r="A295" s="62">
        <v>4607116121504</v>
      </c>
      <c r="B295" s="63" t="s">
        <v>528</v>
      </c>
      <c r="C295" s="113" t="s">
        <v>536</v>
      </c>
      <c r="D295" s="106" t="s">
        <v>325</v>
      </c>
      <c r="E295" s="106">
        <v>6</v>
      </c>
      <c r="F295" s="97">
        <v>10.56</v>
      </c>
      <c r="G295" s="67">
        <f>F295-F295*$I$1/100</f>
        <v>10.56</v>
      </c>
      <c r="H295" s="68"/>
      <c r="I295" s="69">
        <f t="shared" si="17"/>
        <v>0</v>
      </c>
      <c r="J295" s="50">
        <f t="shared" si="18"/>
        <v>0</v>
      </c>
      <c r="K295" s="51">
        <f t="shared" si="19"/>
        <v>0</v>
      </c>
      <c r="L295" s="24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</row>
    <row r="296" spans="1:39" ht="12.75">
      <c r="A296" s="62">
        <v>4607116121528</v>
      </c>
      <c r="B296" s="63" t="s">
        <v>528</v>
      </c>
      <c r="C296" s="113" t="s">
        <v>537</v>
      </c>
      <c r="D296" s="106" t="s">
        <v>325</v>
      </c>
      <c r="E296" s="106">
        <v>6</v>
      </c>
      <c r="F296" s="97">
        <v>10.56</v>
      </c>
      <c r="G296" s="67">
        <f>F296-F296*$I$1/100</f>
        <v>10.56</v>
      </c>
      <c r="H296" s="68"/>
      <c r="I296" s="69">
        <f t="shared" si="17"/>
        <v>0</v>
      </c>
      <c r="J296" s="50">
        <f t="shared" si="18"/>
        <v>0</v>
      </c>
      <c r="K296" s="51">
        <f t="shared" si="19"/>
        <v>0</v>
      </c>
      <c r="L296" s="24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</row>
    <row r="297" spans="1:39" ht="12.75">
      <c r="A297" s="62">
        <v>4607116121443</v>
      </c>
      <c r="B297" s="63" t="s">
        <v>528</v>
      </c>
      <c r="C297" s="113" t="s">
        <v>538</v>
      </c>
      <c r="D297" s="106" t="s">
        <v>325</v>
      </c>
      <c r="E297" s="106">
        <v>6</v>
      </c>
      <c r="F297" s="97">
        <v>7.47</v>
      </c>
      <c r="G297" s="67">
        <f>F297-F297*$I$1/100</f>
        <v>7.47</v>
      </c>
      <c r="H297" s="68"/>
      <c r="I297" s="69">
        <f t="shared" si="17"/>
        <v>0</v>
      </c>
      <c r="J297" s="50">
        <f t="shared" si="18"/>
        <v>0</v>
      </c>
      <c r="K297" s="51">
        <f t="shared" si="19"/>
        <v>0</v>
      </c>
      <c r="L297" s="24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</row>
    <row r="298" spans="1:39" ht="12.75">
      <c r="A298" s="62">
        <v>4607116121429</v>
      </c>
      <c r="B298" s="63" t="s">
        <v>528</v>
      </c>
      <c r="C298" s="113" t="s">
        <v>539</v>
      </c>
      <c r="D298" s="106" t="s">
        <v>325</v>
      </c>
      <c r="E298" s="106">
        <v>6</v>
      </c>
      <c r="F298" s="97">
        <v>7.47</v>
      </c>
      <c r="G298" s="67">
        <f>F298-F298*$I$1/100</f>
        <v>7.47</v>
      </c>
      <c r="H298" s="68"/>
      <c r="I298" s="69">
        <f t="shared" si="17"/>
        <v>0</v>
      </c>
      <c r="J298" s="50">
        <f t="shared" si="18"/>
        <v>0</v>
      </c>
      <c r="K298" s="51">
        <f t="shared" si="19"/>
        <v>0</v>
      </c>
      <c r="L298" s="24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</row>
    <row r="299" spans="1:39" ht="12.75">
      <c r="A299" s="62">
        <v>4607116124291</v>
      </c>
      <c r="B299" s="63" t="s">
        <v>528</v>
      </c>
      <c r="C299" s="113" t="s">
        <v>540</v>
      </c>
      <c r="D299" s="106" t="s">
        <v>325</v>
      </c>
      <c r="E299" s="106">
        <v>6</v>
      </c>
      <c r="F299" s="97">
        <v>7.47</v>
      </c>
      <c r="G299" s="67">
        <f>F299-F299*$I$1/100</f>
        <v>7.47</v>
      </c>
      <c r="H299" s="68"/>
      <c r="I299" s="69">
        <f t="shared" si="17"/>
        <v>0</v>
      </c>
      <c r="J299" s="50">
        <f t="shared" si="18"/>
        <v>0</v>
      </c>
      <c r="K299" s="51">
        <f t="shared" si="19"/>
        <v>0</v>
      </c>
      <c r="L299" s="24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</row>
    <row r="300" spans="1:39" ht="12.75">
      <c r="A300" s="62">
        <v>4607116121672</v>
      </c>
      <c r="B300" s="63" t="s">
        <v>528</v>
      </c>
      <c r="C300" s="113" t="s">
        <v>541</v>
      </c>
      <c r="D300" s="106" t="s">
        <v>325</v>
      </c>
      <c r="E300" s="106">
        <v>6</v>
      </c>
      <c r="F300" s="97">
        <v>7.47</v>
      </c>
      <c r="G300" s="67">
        <f>F300-F300*$I$1/100</f>
        <v>7.47</v>
      </c>
      <c r="H300" s="68"/>
      <c r="I300" s="69">
        <f t="shared" si="17"/>
        <v>0</v>
      </c>
      <c r="J300" s="50">
        <f t="shared" si="18"/>
        <v>0</v>
      </c>
      <c r="K300" s="51">
        <f t="shared" si="19"/>
        <v>0</v>
      </c>
      <c r="L300" s="24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</row>
    <row r="301" spans="1:39" ht="12.75">
      <c r="A301" s="62">
        <v>4607116121481</v>
      </c>
      <c r="B301" s="63" t="s">
        <v>528</v>
      </c>
      <c r="C301" s="113" t="s">
        <v>542</v>
      </c>
      <c r="D301" s="106" t="s">
        <v>325</v>
      </c>
      <c r="E301" s="106">
        <v>6</v>
      </c>
      <c r="F301" s="97">
        <v>9.17</v>
      </c>
      <c r="G301" s="67">
        <f>F301-F301*$I$1/100</f>
        <v>9.17</v>
      </c>
      <c r="H301" s="68"/>
      <c r="I301" s="69">
        <f t="shared" si="17"/>
        <v>0</v>
      </c>
      <c r="J301" s="50">
        <f t="shared" si="18"/>
        <v>0</v>
      </c>
      <c r="K301" s="51">
        <f t="shared" si="19"/>
        <v>0</v>
      </c>
      <c r="L301" s="24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</row>
    <row r="302" spans="1:39" ht="12.75">
      <c r="A302" s="62">
        <v>4607116121542</v>
      </c>
      <c r="B302" s="63" t="s">
        <v>528</v>
      </c>
      <c r="C302" s="113" t="s">
        <v>543</v>
      </c>
      <c r="D302" s="106" t="s">
        <v>325</v>
      </c>
      <c r="E302" s="106">
        <v>6</v>
      </c>
      <c r="F302" s="97">
        <v>9.17</v>
      </c>
      <c r="G302" s="67">
        <f>F302-F302*$I$1/100</f>
        <v>9.17</v>
      </c>
      <c r="H302" s="68"/>
      <c r="I302" s="69">
        <f t="shared" si="17"/>
        <v>0</v>
      </c>
      <c r="J302" s="50">
        <f t="shared" si="18"/>
        <v>0</v>
      </c>
      <c r="K302" s="51">
        <f t="shared" si="19"/>
        <v>0</v>
      </c>
      <c r="L302" s="24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</row>
    <row r="303" spans="1:39" ht="12.75">
      <c r="A303" s="62">
        <v>4607116121450</v>
      </c>
      <c r="B303" s="63" t="s">
        <v>528</v>
      </c>
      <c r="C303" s="113" t="s">
        <v>544</v>
      </c>
      <c r="D303" s="106" t="s">
        <v>325</v>
      </c>
      <c r="E303" s="106">
        <v>6</v>
      </c>
      <c r="F303" s="97">
        <v>9.17</v>
      </c>
      <c r="G303" s="67">
        <f>F303-F303*$I$1/100</f>
        <v>9.17</v>
      </c>
      <c r="H303" s="68"/>
      <c r="I303" s="69">
        <f t="shared" si="17"/>
        <v>0</v>
      </c>
      <c r="J303" s="50">
        <f t="shared" si="18"/>
        <v>0</v>
      </c>
      <c r="K303" s="51">
        <f t="shared" si="19"/>
        <v>0</v>
      </c>
      <c r="L303" s="24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</row>
    <row r="304" spans="1:39" ht="12.75">
      <c r="A304" s="62">
        <v>4607116122648</v>
      </c>
      <c r="B304" s="63" t="s">
        <v>528</v>
      </c>
      <c r="C304" s="113" t="s">
        <v>545</v>
      </c>
      <c r="D304" s="106" t="s">
        <v>325</v>
      </c>
      <c r="E304" s="106">
        <v>6</v>
      </c>
      <c r="F304" s="97">
        <v>10.56</v>
      </c>
      <c r="G304" s="67">
        <f>F304-F304*$I$1/100</f>
        <v>10.56</v>
      </c>
      <c r="H304" s="68"/>
      <c r="I304" s="69">
        <f t="shared" si="17"/>
        <v>0</v>
      </c>
      <c r="J304" s="50">
        <f t="shared" si="18"/>
        <v>0</v>
      </c>
      <c r="K304" s="51">
        <f t="shared" si="19"/>
        <v>0</v>
      </c>
      <c r="L304" s="24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</row>
    <row r="305" spans="1:39" ht="12.75">
      <c r="A305" s="62">
        <v>4607116121474</v>
      </c>
      <c r="B305" s="63" t="s">
        <v>528</v>
      </c>
      <c r="C305" s="113" t="s">
        <v>546</v>
      </c>
      <c r="D305" s="106" t="s">
        <v>325</v>
      </c>
      <c r="E305" s="106">
        <v>6</v>
      </c>
      <c r="F305" s="97">
        <v>9.17</v>
      </c>
      <c r="G305" s="67">
        <f>F305-F305*$I$1/100</f>
        <v>9.17</v>
      </c>
      <c r="H305" s="68"/>
      <c r="I305" s="69">
        <f t="shared" si="17"/>
        <v>0</v>
      </c>
      <c r="J305" s="50">
        <f t="shared" si="18"/>
        <v>0</v>
      </c>
      <c r="K305" s="51">
        <f t="shared" si="19"/>
        <v>0</v>
      </c>
      <c r="L305" s="24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</row>
    <row r="306" spans="1:39" ht="12.75">
      <c r="A306" s="62">
        <v>4607116124307</v>
      </c>
      <c r="B306" s="63" t="s">
        <v>528</v>
      </c>
      <c r="C306" s="113" t="s">
        <v>547</v>
      </c>
      <c r="D306" s="106" t="s">
        <v>325</v>
      </c>
      <c r="E306" s="106">
        <v>6</v>
      </c>
      <c r="F306" s="97">
        <v>9.17</v>
      </c>
      <c r="G306" s="67">
        <f>F306-F306*$I$1/100</f>
        <v>9.17</v>
      </c>
      <c r="H306" s="68"/>
      <c r="I306" s="69">
        <f t="shared" si="17"/>
        <v>0</v>
      </c>
      <c r="J306" s="50">
        <f t="shared" si="18"/>
        <v>0</v>
      </c>
      <c r="K306" s="51">
        <f t="shared" si="19"/>
        <v>0</v>
      </c>
      <c r="L306" s="24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</row>
    <row r="307" spans="1:39" ht="12.75">
      <c r="A307" s="62">
        <v>4607116124284</v>
      </c>
      <c r="B307" s="63" t="s">
        <v>528</v>
      </c>
      <c r="C307" s="113" t="s">
        <v>548</v>
      </c>
      <c r="D307" s="106" t="s">
        <v>325</v>
      </c>
      <c r="E307" s="106">
        <v>6</v>
      </c>
      <c r="F307" s="97">
        <v>9.17</v>
      </c>
      <c r="G307" s="67">
        <f>F307-F307*$I$1/100</f>
        <v>9.17</v>
      </c>
      <c r="H307" s="68"/>
      <c r="I307" s="69">
        <f t="shared" si="17"/>
        <v>0</v>
      </c>
      <c r="J307" s="50">
        <f t="shared" si="18"/>
        <v>0</v>
      </c>
      <c r="K307" s="51">
        <f t="shared" si="19"/>
        <v>0</v>
      </c>
      <c r="L307" s="24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</row>
    <row r="308" spans="1:39" ht="12.75">
      <c r="A308" s="62">
        <v>4607116121436</v>
      </c>
      <c r="B308" s="63" t="s">
        <v>528</v>
      </c>
      <c r="C308" s="113" t="s">
        <v>549</v>
      </c>
      <c r="D308" s="106" t="s">
        <v>325</v>
      </c>
      <c r="E308" s="106">
        <v>6</v>
      </c>
      <c r="F308" s="97">
        <v>7.47</v>
      </c>
      <c r="G308" s="67">
        <f>F308-F308*$I$1/100</f>
        <v>7.47</v>
      </c>
      <c r="H308" s="68"/>
      <c r="I308" s="69">
        <f t="shared" si="17"/>
        <v>0</v>
      </c>
      <c r="J308" s="50">
        <f t="shared" si="18"/>
        <v>0</v>
      </c>
      <c r="K308" s="51">
        <f t="shared" si="19"/>
        <v>0</v>
      </c>
      <c r="L308" s="24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</row>
    <row r="309" spans="1:39" ht="12.75">
      <c r="A309" s="62">
        <v>4630163680823</v>
      </c>
      <c r="B309" s="63" t="s">
        <v>528</v>
      </c>
      <c r="C309" s="113" t="s">
        <v>550</v>
      </c>
      <c r="D309" s="106" t="s">
        <v>325</v>
      </c>
      <c r="E309" s="106">
        <v>6</v>
      </c>
      <c r="F309" s="97">
        <v>7.47</v>
      </c>
      <c r="G309" s="67">
        <f>F309-F309*$I$1/100</f>
        <v>7.47</v>
      </c>
      <c r="H309" s="68"/>
      <c r="I309" s="69">
        <f t="shared" si="17"/>
        <v>0</v>
      </c>
      <c r="J309" s="50">
        <f t="shared" si="18"/>
        <v>0</v>
      </c>
      <c r="K309" s="51">
        <f t="shared" si="19"/>
        <v>0</v>
      </c>
      <c r="L309" s="24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</row>
    <row r="310" spans="1:39" ht="12.75">
      <c r="A310" s="62">
        <v>4607116121566</v>
      </c>
      <c r="B310" s="63" t="s">
        <v>528</v>
      </c>
      <c r="C310" s="113" t="s">
        <v>551</v>
      </c>
      <c r="D310" s="106" t="s">
        <v>325</v>
      </c>
      <c r="E310" s="106">
        <v>6</v>
      </c>
      <c r="F310" s="97">
        <v>7.47</v>
      </c>
      <c r="G310" s="67">
        <f>F310-F310*$I$1/100</f>
        <v>7.47</v>
      </c>
      <c r="H310" s="68"/>
      <c r="I310" s="69">
        <f t="shared" si="17"/>
        <v>0</v>
      </c>
      <c r="J310" s="50">
        <f t="shared" si="18"/>
        <v>0</v>
      </c>
      <c r="K310" s="51">
        <f t="shared" si="19"/>
        <v>0</v>
      </c>
      <c r="L310" s="24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</row>
    <row r="311" spans="1:39" ht="12.75">
      <c r="A311" s="62">
        <v>4607116121665</v>
      </c>
      <c r="B311" s="63" t="s">
        <v>528</v>
      </c>
      <c r="C311" s="113" t="s">
        <v>552</v>
      </c>
      <c r="D311" s="106" t="s">
        <v>325</v>
      </c>
      <c r="E311" s="106">
        <v>6</v>
      </c>
      <c r="F311" s="97">
        <v>10.56</v>
      </c>
      <c r="G311" s="67">
        <f>F311-F311*$I$1/100</f>
        <v>10.56</v>
      </c>
      <c r="H311" s="68"/>
      <c r="I311" s="69">
        <f t="shared" si="17"/>
        <v>0</v>
      </c>
      <c r="J311" s="50">
        <f t="shared" si="18"/>
        <v>0</v>
      </c>
      <c r="K311" s="51">
        <f t="shared" si="19"/>
        <v>0</v>
      </c>
      <c r="L311" s="24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</row>
    <row r="312" spans="1:39" ht="12.75">
      <c r="A312" s="62">
        <v>4607116121559</v>
      </c>
      <c r="B312" s="63" t="s">
        <v>528</v>
      </c>
      <c r="C312" s="113" t="s">
        <v>553</v>
      </c>
      <c r="D312" s="106" t="s">
        <v>325</v>
      </c>
      <c r="E312" s="106">
        <v>6</v>
      </c>
      <c r="F312" s="97">
        <v>7.47</v>
      </c>
      <c r="G312" s="67">
        <f>F312-F312*$I$1/100</f>
        <v>7.47</v>
      </c>
      <c r="H312" s="68"/>
      <c r="I312" s="69">
        <f t="shared" si="17"/>
        <v>0</v>
      </c>
      <c r="J312" s="50">
        <f t="shared" si="18"/>
        <v>0</v>
      </c>
      <c r="K312" s="51">
        <f t="shared" si="19"/>
        <v>0</v>
      </c>
      <c r="L312" s="24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</row>
    <row r="313" spans="1:39" ht="12.75">
      <c r="A313" s="62">
        <v>4607116121658</v>
      </c>
      <c r="B313" s="63" t="s">
        <v>528</v>
      </c>
      <c r="C313" s="113" t="s">
        <v>554</v>
      </c>
      <c r="D313" s="106" t="s">
        <v>325</v>
      </c>
      <c r="E313" s="106">
        <v>6</v>
      </c>
      <c r="F313" s="97">
        <v>9.17</v>
      </c>
      <c r="G313" s="67">
        <f>F313-F313*$I$1/100</f>
        <v>9.17</v>
      </c>
      <c r="H313" s="68"/>
      <c r="I313" s="69">
        <f t="shared" si="17"/>
        <v>0</v>
      </c>
      <c r="J313" s="50">
        <f t="shared" si="18"/>
        <v>0</v>
      </c>
      <c r="K313" s="51">
        <f t="shared" si="19"/>
        <v>0</v>
      </c>
      <c r="L313" s="24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</row>
    <row r="314" spans="1:39" ht="12.75">
      <c r="A314" s="62">
        <v>4607116126066</v>
      </c>
      <c r="B314" s="63" t="s">
        <v>528</v>
      </c>
      <c r="C314" s="113" t="s">
        <v>555</v>
      </c>
      <c r="D314" s="106" t="s">
        <v>325</v>
      </c>
      <c r="E314" s="106">
        <v>6</v>
      </c>
      <c r="F314" s="97">
        <v>10.08</v>
      </c>
      <c r="G314" s="67">
        <f>F314-F314*$I$1/100</f>
        <v>10.08</v>
      </c>
      <c r="H314" s="68"/>
      <c r="I314" s="69">
        <f t="shared" si="17"/>
        <v>0</v>
      </c>
      <c r="J314" s="50">
        <f t="shared" si="18"/>
        <v>0</v>
      </c>
      <c r="K314" s="51">
        <f t="shared" si="19"/>
        <v>0</v>
      </c>
      <c r="L314" s="24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</row>
    <row r="315" spans="1:39" ht="12.75">
      <c r="A315" s="62">
        <v>4630163680830</v>
      </c>
      <c r="B315" s="63" t="s">
        <v>528</v>
      </c>
      <c r="C315" s="113" t="s">
        <v>556</v>
      </c>
      <c r="D315" s="106" t="s">
        <v>325</v>
      </c>
      <c r="E315" s="106">
        <v>6</v>
      </c>
      <c r="F315" s="97">
        <v>7.47</v>
      </c>
      <c r="G315" s="67">
        <f>F315-F315*$I$1/100</f>
        <v>7.47</v>
      </c>
      <c r="H315" s="68"/>
      <c r="I315" s="69">
        <f t="shared" si="17"/>
        <v>0</v>
      </c>
      <c r="J315" s="50">
        <f t="shared" si="18"/>
        <v>0</v>
      </c>
      <c r="K315" s="51">
        <f t="shared" si="19"/>
        <v>0</v>
      </c>
      <c r="L315" s="24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</row>
    <row r="316" spans="1:39" ht="12.75">
      <c r="A316" s="62">
        <v>4607116121498</v>
      </c>
      <c r="B316" s="63" t="s">
        <v>528</v>
      </c>
      <c r="C316" s="113" t="s">
        <v>557</v>
      </c>
      <c r="D316" s="106" t="s">
        <v>325</v>
      </c>
      <c r="E316" s="106">
        <v>6</v>
      </c>
      <c r="F316" s="97">
        <v>7.47</v>
      </c>
      <c r="G316" s="67">
        <f>F316-F316*$I$1/100</f>
        <v>7.47</v>
      </c>
      <c r="H316" s="68"/>
      <c r="I316" s="69">
        <f t="shared" si="17"/>
        <v>0</v>
      </c>
      <c r="J316" s="50">
        <f t="shared" si="18"/>
        <v>0</v>
      </c>
      <c r="K316" s="51">
        <f t="shared" si="19"/>
        <v>0</v>
      </c>
      <c r="L316" s="24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</row>
    <row r="317" spans="1:39" ht="12.75">
      <c r="A317" s="62">
        <v>4630163684548</v>
      </c>
      <c r="B317" s="63" t="s">
        <v>528</v>
      </c>
      <c r="C317" s="113" t="s">
        <v>558</v>
      </c>
      <c r="D317" s="106" t="s">
        <v>325</v>
      </c>
      <c r="E317" s="106">
        <v>6</v>
      </c>
      <c r="F317" s="97">
        <v>7.47</v>
      </c>
      <c r="G317" s="67">
        <f>F317-F317*$I$1/100</f>
        <v>7.47</v>
      </c>
      <c r="H317" s="68"/>
      <c r="I317" s="69">
        <f>G317*H317</f>
        <v>0</v>
      </c>
      <c r="J317" s="50">
        <f>H317*0.95</f>
        <v>0</v>
      </c>
      <c r="K317" s="51">
        <f>H317*0.8</f>
        <v>0</v>
      </c>
      <c r="L317" s="24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</row>
    <row r="318" spans="1:43" ht="13.5">
      <c r="A318" s="62">
        <v>4607116121610</v>
      </c>
      <c r="B318" s="63" t="s">
        <v>416</v>
      </c>
      <c r="C318" s="153" t="s">
        <v>417</v>
      </c>
      <c r="D318" s="146" t="s">
        <v>418</v>
      </c>
      <c r="E318" s="146">
        <v>6</v>
      </c>
      <c r="F318" s="84">
        <v>4.32</v>
      </c>
      <c r="G318" s="67">
        <f>F318-F318*$I$1/100</f>
        <v>4.32</v>
      </c>
      <c r="H318" s="68"/>
      <c r="I318" s="69">
        <f t="shared" si="17"/>
        <v>0</v>
      </c>
      <c r="J318" s="50">
        <f>H318*0.35</f>
        <v>0</v>
      </c>
      <c r="K318" s="51">
        <f>H318*0.2</f>
        <v>0</v>
      </c>
      <c r="L318" s="24"/>
      <c r="M318" s="154"/>
      <c r="N318" s="25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ht="12.75">
      <c r="A319" s="62">
        <v>4607116124338</v>
      </c>
      <c r="B319" s="63" t="s">
        <v>559</v>
      </c>
      <c r="C319" s="155" t="s">
        <v>560</v>
      </c>
      <c r="D319" s="106" t="s">
        <v>107</v>
      </c>
      <c r="E319" s="106">
        <v>6</v>
      </c>
      <c r="F319" s="97">
        <v>10.59</v>
      </c>
      <c r="G319" s="67">
        <f>F319-F319*$I$1/100</f>
        <v>10.59</v>
      </c>
      <c r="H319" s="68"/>
      <c r="I319" s="69">
        <f t="shared" si="17"/>
        <v>0</v>
      </c>
      <c r="J319" s="50">
        <f aca="true" t="shared" si="20" ref="J319:J326">H319*1.2</f>
        <v>0</v>
      </c>
      <c r="K319" s="51">
        <f aca="true" t="shared" si="21" ref="K319:K338">H319*1</f>
        <v>0</v>
      </c>
      <c r="L319" s="24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</row>
    <row r="320" spans="1:43" s="18" customFormat="1" ht="12.75">
      <c r="A320" s="62">
        <v>4607116124345</v>
      </c>
      <c r="B320" s="63" t="s">
        <v>559</v>
      </c>
      <c r="C320" s="155" t="s">
        <v>561</v>
      </c>
      <c r="D320" s="106" t="s">
        <v>107</v>
      </c>
      <c r="E320" s="106">
        <v>6</v>
      </c>
      <c r="F320" s="97">
        <v>10.59</v>
      </c>
      <c r="G320" s="67">
        <f>F320-F320*$I$1/100</f>
        <v>10.59</v>
      </c>
      <c r="H320" s="68"/>
      <c r="I320" s="69">
        <f t="shared" si="17"/>
        <v>0</v>
      </c>
      <c r="J320" s="50">
        <f t="shared" si="20"/>
        <v>0</v>
      </c>
      <c r="K320" s="51">
        <f t="shared" si="21"/>
        <v>0</v>
      </c>
      <c r="L320" s="24"/>
      <c r="M320" s="25"/>
      <c r="N320" s="25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</row>
    <row r="321" spans="1:43" s="18" customFormat="1" ht="12.75">
      <c r="A321" s="62">
        <v>4607116124352</v>
      </c>
      <c r="B321" s="63" t="s">
        <v>559</v>
      </c>
      <c r="C321" s="155" t="s">
        <v>562</v>
      </c>
      <c r="D321" s="106" t="s">
        <v>107</v>
      </c>
      <c r="E321" s="106">
        <v>6</v>
      </c>
      <c r="F321" s="97">
        <v>11.52</v>
      </c>
      <c r="G321" s="67">
        <f>F321-F321*$I$1/100</f>
        <v>11.52</v>
      </c>
      <c r="H321" s="68"/>
      <c r="I321" s="69">
        <f t="shared" si="17"/>
        <v>0</v>
      </c>
      <c r="J321" s="50">
        <f t="shared" si="20"/>
        <v>0</v>
      </c>
      <c r="K321" s="51">
        <f t="shared" si="21"/>
        <v>0</v>
      </c>
      <c r="L321" s="24"/>
      <c r="M321" s="8"/>
      <c r="N321" s="8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</row>
    <row r="322" spans="1:43" s="18" customFormat="1" ht="12.75">
      <c r="A322" s="62">
        <v>4607116124369</v>
      </c>
      <c r="B322" s="63" t="s">
        <v>559</v>
      </c>
      <c r="C322" s="155" t="s">
        <v>563</v>
      </c>
      <c r="D322" s="106" t="s">
        <v>107</v>
      </c>
      <c r="E322" s="106">
        <v>6</v>
      </c>
      <c r="F322" s="97">
        <v>10.59</v>
      </c>
      <c r="G322" s="67">
        <f>F322-F322*$I$1/100</f>
        <v>10.59</v>
      </c>
      <c r="H322" s="68"/>
      <c r="I322" s="69">
        <f t="shared" si="17"/>
        <v>0</v>
      </c>
      <c r="J322" s="50">
        <f t="shared" si="20"/>
        <v>0</v>
      </c>
      <c r="K322" s="51">
        <f t="shared" si="21"/>
        <v>0</v>
      </c>
      <c r="L322" s="24"/>
      <c r="M322" s="24"/>
      <c r="N322" s="25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</row>
    <row r="323" spans="1:43" s="18" customFormat="1" ht="13.5">
      <c r="A323" s="62">
        <v>4607116124376</v>
      </c>
      <c r="B323" s="63" t="s">
        <v>559</v>
      </c>
      <c r="C323" s="155" t="s">
        <v>564</v>
      </c>
      <c r="D323" s="106" t="s">
        <v>107</v>
      </c>
      <c r="E323" s="106">
        <v>6</v>
      </c>
      <c r="F323" s="97">
        <v>11.52</v>
      </c>
      <c r="G323" s="67">
        <f>F323-F323*$I$1/100</f>
        <v>11.52</v>
      </c>
      <c r="H323" s="68"/>
      <c r="I323" s="69">
        <f t="shared" si="17"/>
        <v>0</v>
      </c>
      <c r="J323" s="50">
        <f t="shared" si="20"/>
        <v>0</v>
      </c>
      <c r="K323" s="51">
        <f t="shared" si="21"/>
        <v>0</v>
      </c>
      <c r="L323" s="24"/>
      <c r="M323" s="154"/>
      <c r="N323" s="25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</row>
    <row r="324" spans="1:43" s="18" customFormat="1" ht="13.5">
      <c r="A324" s="62">
        <v>4607116124383</v>
      </c>
      <c r="B324" s="63" t="s">
        <v>559</v>
      </c>
      <c r="C324" s="155" t="s">
        <v>565</v>
      </c>
      <c r="D324" s="106" t="s">
        <v>107</v>
      </c>
      <c r="E324" s="106">
        <v>6</v>
      </c>
      <c r="F324" s="97">
        <v>11.52</v>
      </c>
      <c r="G324" s="67">
        <f>F324-F324*$I$1/100</f>
        <v>11.52</v>
      </c>
      <c r="H324" s="68"/>
      <c r="I324" s="69">
        <f t="shared" si="17"/>
        <v>0</v>
      </c>
      <c r="J324" s="50">
        <f t="shared" si="20"/>
        <v>0</v>
      </c>
      <c r="K324" s="51">
        <f t="shared" si="21"/>
        <v>0</v>
      </c>
      <c r="L324" s="24"/>
      <c r="M324" s="154"/>
      <c r="N324" s="25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</row>
    <row r="325" spans="1:43" ht="12.75">
      <c r="A325" s="62">
        <v>4607116124390</v>
      </c>
      <c r="B325" s="63" t="s">
        <v>559</v>
      </c>
      <c r="C325" s="155" t="s">
        <v>566</v>
      </c>
      <c r="D325" s="106" t="s">
        <v>107</v>
      </c>
      <c r="E325" s="106">
        <v>6</v>
      </c>
      <c r="F325" s="97">
        <v>12.72</v>
      </c>
      <c r="G325" s="67">
        <f>F325-F325*$I$1/100</f>
        <v>12.72</v>
      </c>
      <c r="H325" s="68"/>
      <c r="I325" s="69">
        <f t="shared" si="17"/>
        <v>0</v>
      </c>
      <c r="J325" s="50">
        <f t="shared" si="20"/>
        <v>0</v>
      </c>
      <c r="K325" s="51">
        <f t="shared" si="21"/>
        <v>0</v>
      </c>
      <c r="L325" s="24"/>
      <c r="M325" s="24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</row>
    <row r="326" spans="1:43" ht="12.75">
      <c r="A326" s="62">
        <v>4607116124406</v>
      </c>
      <c r="B326" s="63" t="s">
        <v>559</v>
      </c>
      <c r="C326" s="155" t="s">
        <v>567</v>
      </c>
      <c r="D326" s="106" t="s">
        <v>107</v>
      </c>
      <c r="E326" s="106">
        <v>6</v>
      </c>
      <c r="F326" s="97">
        <v>10.59</v>
      </c>
      <c r="G326" s="67">
        <f>F326-F326*$I$1/100</f>
        <v>10.59</v>
      </c>
      <c r="H326" s="68"/>
      <c r="I326" s="69">
        <f t="shared" si="17"/>
        <v>0</v>
      </c>
      <c r="J326" s="50">
        <f t="shared" si="20"/>
        <v>0</v>
      </c>
      <c r="K326" s="51">
        <f t="shared" si="21"/>
        <v>0</v>
      </c>
      <c r="L326" s="24"/>
      <c r="M326" s="24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</row>
    <row r="327" spans="1:43" ht="12.75">
      <c r="A327" s="62">
        <v>4607116124413</v>
      </c>
      <c r="B327" s="63" t="s">
        <v>559</v>
      </c>
      <c r="C327" s="155" t="s">
        <v>568</v>
      </c>
      <c r="D327" s="106" t="s">
        <v>107</v>
      </c>
      <c r="E327" s="106">
        <v>6</v>
      </c>
      <c r="F327" s="97">
        <v>10.59</v>
      </c>
      <c r="G327" s="67">
        <f>F327-F327*$I$1/100</f>
        <v>10.59</v>
      </c>
      <c r="H327" s="68"/>
      <c r="I327" s="69">
        <f t="shared" si="17"/>
        <v>0</v>
      </c>
      <c r="J327" s="50">
        <f>H327*1.27</f>
        <v>0</v>
      </c>
      <c r="K327" s="51">
        <f t="shared" si="21"/>
        <v>0</v>
      </c>
      <c r="L327" s="24"/>
      <c r="M327" s="24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</row>
    <row r="328" spans="1:43" ht="12.75">
      <c r="A328" s="62">
        <v>4607116124420</v>
      </c>
      <c r="B328" s="63" t="s">
        <v>559</v>
      </c>
      <c r="C328" s="155" t="s">
        <v>569</v>
      </c>
      <c r="D328" s="106" t="s">
        <v>107</v>
      </c>
      <c r="E328" s="106">
        <v>6</v>
      </c>
      <c r="F328" s="97">
        <v>10.59</v>
      </c>
      <c r="G328" s="67">
        <f>F328-F328*$I$1/100</f>
        <v>10.59</v>
      </c>
      <c r="H328" s="68"/>
      <c r="I328" s="69">
        <f t="shared" si="17"/>
        <v>0</v>
      </c>
      <c r="J328" s="50">
        <f>H328*1.2</f>
        <v>0</v>
      </c>
      <c r="K328" s="51">
        <f t="shared" si="21"/>
        <v>0</v>
      </c>
      <c r="L328" s="24"/>
      <c r="M328" s="24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</row>
    <row r="329" spans="1:43" ht="12.75">
      <c r="A329" s="62">
        <v>4607116124437</v>
      </c>
      <c r="B329" s="63" t="s">
        <v>559</v>
      </c>
      <c r="C329" s="155" t="s">
        <v>570</v>
      </c>
      <c r="D329" s="106" t="s">
        <v>107</v>
      </c>
      <c r="E329" s="106">
        <v>6</v>
      </c>
      <c r="F329" s="97">
        <v>10.09</v>
      </c>
      <c r="G329" s="67">
        <f>F329-F329*$I$1/100</f>
        <v>10.09</v>
      </c>
      <c r="H329" s="68"/>
      <c r="I329" s="69">
        <f t="shared" si="17"/>
        <v>0</v>
      </c>
      <c r="J329" s="50">
        <f>H329*1.1166</f>
        <v>0</v>
      </c>
      <c r="K329" s="51">
        <f t="shared" si="21"/>
        <v>0</v>
      </c>
      <c r="L329" s="24"/>
      <c r="M329" s="24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</row>
    <row r="330" spans="1:43" s="9" customFormat="1" ht="12.75">
      <c r="A330" s="62">
        <v>4607116124444</v>
      </c>
      <c r="B330" s="63" t="s">
        <v>559</v>
      </c>
      <c r="C330" s="155" t="s">
        <v>571</v>
      </c>
      <c r="D330" s="106" t="s">
        <v>105</v>
      </c>
      <c r="E330" s="106">
        <v>6</v>
      </c>
      <c r="F330" s="97">
        <v>11.52</v>
      </c>
      <c r="G330" s="67">
        <f>F330-F330*$I$1/100</f>
        <v>11.52</v>
      </c>
      <c r="H330" s="68"/>
      <c r="I330" s="69">
        <f t="shared" si="17"/>
        <v>0</v>
      </c>
      <c r="J330" s="50">
        <f aca="true" t="shared" si="22" ref="J330:J336">H330*1.2</f>
        <v>0</v>
      </c>
      <c r="K330" s="51">
        <f t="shared" si="21"/>
        <v>0</v>
      </c>
      <c r="L330" s="24"/>
      <c r="M330" s="24"/>
      <c r="N330" s="25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</row>
    <row r="331" spans="1:43" s="9" customFormat="1" ht="12.75">
      <c r="A331" s="62">
        <v>4607116124451</v>
      </c>
      <c r="B331" s="63" t="s">
        <v>559</v>
      </c>
      <c r="C331" s="155" t="s">
        <v>572</v>
      </c>
      <c r="D331" s="106" t="s">
        <v>107</v>
      </c>
      <c r="E331" s="106">
        <v>6</v>
      </c>
      <c r="F331" s="97">
        <v>11.52</v>
      </c>
      <c r="G331" s="67">
        <f>F331-F331*$I$1/100</f>
        <v>11.52</v>
      </c>
      <c r="H331" s="68"/>
      <c r="I331" s="69">
        <f t="shared" si="17"/>
        <v>0</v>
      </c>
      <c r="J331" s="50">
        <f t="shared" si="22"/>
        <v>0</v>
      </c>
      <c r="K331" s="51">
        <f t="shared" si="21"/>
        <v>0</v>
      </c>
      <c r="L331" s="24"/>
      <c r="M331" s="24"/>
      <c r="N331" s="25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</row>
    <row r="332" spans="1:43" s="9" customFormat="1" ht="12.75">
      <c r="A332" s="62">
        <v>4607116124468</v>
      </c>
      <c r="B332" s="63" t="s">
        <v>559</v>
      </c>
      <c r="C332" s="155" t="s">
        <v>573</v>
      </c>
      <c r="D332" s="106" t="s">
        <v>107</v>
      </c>
      <c r="E332" s="106">
        <v>6</v>
      </c>
      <c r="F332" s="97">
        <v>11.52</v>
      </c>
      <c r="G332" s="67">
        <f>F332-F332*$I$1/100</f>
        <v>11.52</v>
      </c>
      <c r="H332" s="68"/>
      <c r="I332" s="69">
        <f t="shared" si="17"/>
        <v>0</v>
      </c>
      <c r="J332" s="50">
        <f t="shared" si="22"/>
        <v>0</v>
      </c>
      <c r="K332" s="51">
        <f t="shared" si="21"/>
        <v>0</v>
      </c>
      <c r="L332" s="24"/>
      <c r="M332" s="24"/>
      <c r="N332" s="25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</row>
    <row r="333" spans="1:43" ht="12.75">
      <c r="A333" s="62">
        <v>4607116124475</v>
      </c>
      <c r="B333" s="63" t="s">
        <v>559</v>
      </c>
      <c r="C333" s="155" t="s">
        <v>574</v>
      </c>
      <c r="D333" s="106" t="s">
        <v>107</v>
      </c>
      <c r="E333" s="106">
        <v>6</v>
      </c>
      <c r="F333" s="97">
        <v>12.72</v>
      </c>
      <c r="G333" s="67">
        <f>F333-F333*$I$1/100</f>
        <v>12.72</v>
      </c>
      <c r="H333" s="68"/>
      <c r="I333" s="69">
        <f t="shared" si="17"/>
        <v>0</v>
      </c>
      <c r="J333" s="50">
        <f t="shared" si="22"/>
        <v>0</v>
      </c>
      <c r="K333" s="51">
        <f t="shared" si="21"/>
        <v>0</v>
      </c>
      <c r="L333" s="24"/>
      <c r="M333" s="24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</row>
    <row r="334" spans="1:43" ht="12.75">
      <c r="A334" s="62">
        <v>4607116124482</v>
      </c>
      <c r="B334" s="63" t="s">
        <v>559</v>
      </c>
      <c r="C334" s="155" t="s">
        <v>575</v>
      </c>
      <c r="D334" s="106" t="s">
        <v>107</v>
      </c>
      <c r="E334" s="106">
        <v>6</v>
      </c>
      <c r="F334" s="97">
        <v>11.77</v>
      </c>
      <c r="G334" s="67">
        <f>F334-F334*$I$1/100</f>
        <v>11.77</v>
      </c>
      <c r="H334" s="68"/>
      <c r="I334" s="69">
        <f t="shared" si="17"/>
        <v>0</v>
      </c>
      <c r="J334" s="50">
        <f t="shared" si="22"/>
        <v>0</v>
      </c>
      <c r="K334" s="51">
        <f t="shared" si="21"/>
        <v>0</v>
      </c>
      <c r="L334" s="24"/>
      <c r="M334" s="24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</row>
    <row r="335" spans="1:43" ht="12.75">
      <c r="A335" s="62">
        <v>4607116124499</v>
      </c>
      <c r="B335" s="63" t="s">
        <v>559</v>
      </c>
      <c r="C335" s="155" t="s">
        <v>576</v>
      </c>
      <c r="D335" s="106" t="s">
        <v>107</v>
      </c>
      <c r="E335" s="106">
        <v>6</v>
      </c>
      <c r="F335" s="97">
        <v>12.72</v>
      </c>
      <c r="G335" s="67">
        <f>F335-F335*$I$1/100</f>
        <v>12.72</v>
      </c>
      <c r="H335" s="68"/>
      <c r="I335" s="69">
        <f t="shared" si="17"/>
        <v>0</v>
      </c>
      <c r="J335" s="50">
        <f t="shared" si="22"/>
        <v>0</v>
      </c>
      <c r="K335" s="51">
        <f t="shared" si="21"/>
        <v>0</v>
      </c>
      <c r="L335" s="24"/>
      <c r="M335" s="24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</row>
    <row r="336" spans="1:43" ht="12.75">
      <c r="A336" s="62">
        <v>4607116124505</v>
      </c>
      <c r="B336" s="63" t="s">
        <v>559</v>
      </c>
      <c r="C336" s="155" t="s">
        <v>577</v>
      </c>
      <c r="D336" s="106" t="s">
        <v>107</v>
      </c>
      <c r="E336" s="106">
        <v>6</v>
      </c>
      <c r="F336" s="97">
        <v>12.72</v>
      </c>
      <c r="G336" s="67">
        <f>F336-F336*$I$1/100</f>
        <v>12.72</v>
      </c>
      <c r="H336" s="68"/>
      <c r="I336" s="69">
        <f t="shared" si="17"/>
        <v>0</v>
      </c>
      <c r="J336" s="50">
        <f t="shared" si="22"/>
        <v>0</v>
      </c>
      <c r="K336" s="51">
        <f t="shared" si="21"/>
        <v>0</v>
      </c>
      <c r="L336" s="24"/>
      <c r="M336" s="24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</row>
    <row r="337" spans="1:43" ht="12.75">
      <c r="A337" s="62">
        <v>4607116124529</v>
      </c>
      <c r="B337" s="63" t="s">
        <v>559</v>
      </c>
      <c r="C337" s="155" t="s">
        <v>578</v>
      </c>
      <c r="D337" s="106" t="s">
        <v>107</v>
      </c>
      <c r="E337" s="106">
        <v>6</v>
      </c>
      <c r="F337" s="97">
        <v>11</v>
      </c>
      <c r="G337" s="67">
        <f>F337-F337*$I$1/100</f>
        <v>11</v>
      </c>
      <c r="H337" s="68"/>
      <c r="I337" s="69">
        <f t="shared" si="17"/>
        <v>0</v>
      </c>
      <c r="J337" s="50">
        <f>H337*1.1166</f>
        <v>0</v>
      </c>
      <c r="K337" s="51">
        <f t="shared" si="21"/>
        <v>0</v>
      </c>
      <c r="L337" s="24"/>
      <c r="M337" s="24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</row>
    <row r="338" spans="1:43" ht="12.75">
      <c r="A338" s="62">
        <v>4607116124536</v>
      </c>
      <c r="B338" s="63" t="s">
        <v>559</v>
      </c>
      <c r="C338" s="155" t="s">
        <v>579</v>
      </c>
      <c r="D338" s="106" t="s">
        <v>107</v>
      </c>
      <c r="E338" s="106">
        <v>6</v>
      </c>
      <c r="F338" s="97">
        <v>11</v>
      </c>
      <c r="G338" s="67">
        <f>F338-F338*$I$1/100</f>
        <v>11</v>
      </c>
      <c r="H338" s="68"/>
      <c r="I338" s="69">
        <f t="shared" si="17"/>
        <v>0</v>
      </c>
      <c r="J338" s="50">
        <f>H338*1.2</f>
        <v>0</v>
      </c>
      <c r="K338" s="51">
        <f t="shared" si="21"/>
        <v>0</v>
      </c>
      <c r="L338" s="24"/>
      <c r="M338" s="24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</row>
    <row r="339" spans="1:43" s="9" customFormat="1" ht="12.75">
      <c r="A339" s="62">
        <v>4607116121375</v>
      </c>
      <c r="B339" s="63" t="s">
        <v>406</v>
      </c>
      <c r="C339" s="156" t="s">
        <v>407</v>
      </c>
      <c r="D339" s="157" t="s">
        <v>74</v>
      </c>
      <c r="E339" s="157">
        <v>6</v>
      </c>
      <c r="F339" s="97">
        <v>6.49</v>
      </c>
      <c r="G339" s="67">
        <f>F339-F339*$I$1/100</f>
        <v>6.49</v>
      </c>
      <c r="H339" s="68"/>
      <c r="I339" s="69">
        <f t="shared" si="17"/>
        <v>0</v>
      </c>
      <c r="J339" s="50">
        <f>H339*0.561</f>
        <v>0</v>
      </c>
      <c r="K339" s="51">
        <f>H339*0.5</f>
        <v>0</v>
      </c>
      <c r="L339" s="24"/>
      <c r="M339" s="150"/>
      <c r="N339" s="150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s="16" customFormat="1" ht="18" customHeight="1">
      <c r="A340" s="32" t="s">
        <v>580</v>
      </c>
      <c r="B340" s="32"/>
      <c r="C340" s="32"/>
      <c r="D340" s="32"/>
      <c r="E340" s="32"/>
      <c r="F340" s="32"/>
      <c r="G340" s="32"/>
      <c r="H340" s="32"/>
      <c r="I340" s="87"/>
      <c r="J340" s="88"/>
      <c r="K340" s="89"/>
      <c r="L340" s="24"/>
      <c r="M340" s="25"/>
      <c r="N340" s="25"/>
      <c r="O340" s="142"/>
      <c r="P340" s="142"/>
      <c r="Q340" s="142"/>
      <c r="R340" s="142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</row>
    <row r="341" spans="1:43" s="16" customFormat="1" ht="18.75" customHeight="1">
      <c r="A341" s="144">
        <v>4607116126424</v>
      </c>
      <c r="B341" s="63" t="s">
        <v>581</v>
      </c>
      <c r="C341" s="102" t="s">
        <v>582</v>
      </c>
      <c r="D341" s="106" t="s">
        <v>583</v>
      </c>
      <c r="E341" s="106">
        <v>6</v>
      </c>
      <c r="F341" s="97">
        <v>5.8</v>
      </c>
      <c r="G341" s="67">
        <f>F341-F341*$I$1/100</f>
        <v>5.8</v>
      </c>
      <c r="H341" s="126"/>
      <c r="I341" s="69">
        <f>G341*H341</f>
        <v>0</v>
      </c>
      <c r="J341" s="50">
        <f>0.95*H341</f>
        <v>0</v>
      </c>
      <c r="K341" s="51">
        <f>0.75*H341</f>
        <v>0</v>
      </c>
      <c r="L341" s="24"/>
      <c r="M341" s="25"/>
      <c r="N341" s="25"/>
      <c r="O341" s="142"/>
      <c r="P341" s="142"/>
      <c r="Q341" s="142"/>
      <c r="R341" s="142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</row>
    <row r="342" spans="1:43" s="16" customFormat="1" ht="18.75" customHeight="1">
      <c r="A342" s="144">
        <v>4607116126448</v>
      </c>
      <c r="B342" s="63" t="s">
        <v>581</v>
      </c>
      <c r="C342" s="102" t="s">
        <v>584</v>
      </c>
      <c r="D342" s="106" t="s">
        <v>583</v>
      </c>
      <c r="E342" s="106">
        <v>6</v>
      </c>
      <c r="F342" s="97">
        <v>5.8</v>
      </c>
      <c r="G342" s="67">
        <f>F342-F342*$I$1/100</f>
        <v>5.8</v>
      </c>
      <c r="H342" s="126"/>
      <c r="I342" s="69">
        <f>G342*H342</f>
        <v>0</v>
      </c>
      <c r="J342" s="50">
        <f>0.95*H342</f>
        <v>0</v>
      </c>
      <c r="K342" s="51">
        <f>0.75*H342</f>
        <v>0</v>
      </c>
      <c r="L342" s="24"/>
      <c r="M342" s="25"/>
      <c r="N342" s="25"/>
      <c r="O342" s="142"/>
      <c r="P342" s="142"/>
      <c r="Q342" s="142"/>
      <c r="R342" s="142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</row>
    <row r="343" spans="1:43" s="16" customFormat="1" ht="18.75" customHeight="1">
      <c r="A343" s="144">
        <v>4607116126509</v>
      </c>
      <c r="B343" s="63" t="s">
        <v>581</v>
      </c>
      <c r="C343" s="105" t="s">
        <v>585</v>
      </c>
      <c r="D343" s="106" t="s">
        <v>583</v>
      </c>
      <c r="E343" s="106">
        <v>6</v>
      </c>
      <c r="F343" s="97">
        <v>5.8</v>
      </c>
      <c r="G343" s="67">
        <f>F343-F343*$I$1/100</f>
        <v>5.8</v>
      </c>
      <c r="H343" s="126"/>
      <c r="I343" s="69">
        <f>G343*H343</f>
        <v>0</v>
      </c>
      <c r="J343" s="50">
        <f>0.95*H343</f>
        <v>0</v>
      </c>
      <c r="K343" s="51">
        <f>0.75*H343</f>
        <v>0</v>
      </c>
      <c r="L343" s="24"/>
      <c r="M343" s="25"/>
      <c r="N343" s="25"/>
      <c r="O343" s="142"/>
      <c r="P343" s="142"/>
      <c r="Q343" s="142"/>
      <c r="R343" s="142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</row>
    <row r="344" spans="1:43" ht="18.75" customHeight="1">
      <c r="A344" s="62">
        <v>4607116124642</v>
      </c>
      <c r="B344" s="63" t="s">
        <v>581</v>
      </c>
      <c r="C344" s="151" t="s">
        <v>586</v>
      </c>
      <c r="D344" s="106" t="s">
        <v>583</v>
      </c>
      <c r="E344" s="106">
        <v>6</v>
      </c>
      <c r="F344" s="97">
        <v>5.8</v>
      </c>
      <c r="G344" s="67">
        <f>F344-F344*$I$1/100</f>
        <v>5.8</v>
      </c>
      <c r="H344" s="126"/>
      <c r="I344" s="69">
        <f aca="true" t="shared" si="23" ref="I344:I363">G344*H344</f>
        <v>0</v>
      </c>
      <c r="J344" s="50">
        <f>H344*0.95</f>
        <v>0</v>
      </c>
      <c r="K344" s="51">
        <f aca="true" t="shared" si="24" ref="K344:K364">H344*0.75</f>
        <v>0</v>
      </c>
      <c r="L344" s="24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</row>
    <row r="345" spans="1:43" ht="18.75" customHeight="1">
      <c r="A345" s="62">
        <v>4607116124628</v>
      </c>
      <c r="B345" s="63" t="s">
        <v>581</v>
      </c>
      <c r="C345" s="151" t="s">
        <v>587</v>
      </c>
      <c r="D345" s="106" t="s">
        <v>583</v>
      </c>
      <c r="E345" s="106">
        <v>6</v>
      </c>
      <c r="F345" s="97">
        <v>9.59</v>
      </c>
      <c r="G345" s="67">
        <f>F345-F345*$I$1/100</f>
        <v>9.59</v>
      </c>
      <c r="H345" s="126"/>
      <c r="I345" s="69">
        <f t="shared" si="23"/>
        <v>0</v>
      </c>
      <c r="J345" s="50">
        <f>H345*0.95</f>
        <v>0</v>
      </c>
      <c r="K345" s="51">
        <f t="shared" si="24"/>
        <v>0</v>
      </c>
      <c r="L345" s="24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</row>
    <row r="346" spans="1:43" ht="18.75" customHeight="1">
      <c r="A346" s="62">
        <v>4607116124697</v>
      </c>
      <c r="B346" s="63" t="s">
        <v>581</v>
      </c>
      <c r="C346" s="151" t="s">
        <v>588</v>
      </c>
      <c r="D346" s="106" t="s">
        <v>583</v>
      </c>
      <c r="E346" s="106">
        <v>6</v>
      </c>
      <c r="F346" s="97">
        <v>9.59</v>
      </c>
      <c r="G346" s="67">
        <f>F346-F346*$I$1/100</f>
        <v>9.59</v>
      </c>
      <c r="H346" s="126"/>
      <c r="I346" s="69">
        <f t="shared" si="23"/>
        <v>0</v>
      </c>
      <c r="J346" s="50">
        <f aca="true" t="shared" si="25" ref="J346:J359">H346*0.9</f>
        <v>0</v>
      </c>
      <c r="K346" s="51">
        <f t="shared" si="24"/>
        <v>0</v>
      </c>
      <c r="L346" s="24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</row>
    <row r="347" spans="1:43" ht="18.75" customHeight="1">
      <c r="A347" s="62">
        <v>4607116124581</v>
      </c>
      <c r="B347" s="63" t="s">
        <v>581</v>
      </c>
      <c r="C347" s="151" t="s">
        <v>589</v>
      </c>
      <c r="D347" s="106" t="s">
        <v>583</v>
      </c>
      <c r="E347" s="106">
        <v>6</v>
      </c>
      <c r="F347" s="97">
        <v>8.87</v>
      </c>
      <c r="G347" s="67">
        <f>F347-F347*$I$1/100</f>
        <v>8.87</v>
      </c>
      <c r="H347" s="126"/>
      <c r="I347" s="69">
        <f t="shared" si="23"/>
        <v>0</v>
      </c>
      <c r="J347" s="50">
        <f t="shared" si="25"/>
        <v>0</v>
      </c>
      <c r="K347" s="51">
        <f t="shared" si="24"/>
        <v>0</v>
      </c>
      <c r="L347" s="24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</row>
    <row r="348" spans="1:43" ht="18.75" customHeight="1">
      <c r="A348" s="62">
        <v>4607116124543</v>
      </c>
      <c r="B348" s="63" t="s">
        <v>581</v>
      </c>
      <c r="C348" s="151" t="s">
        <v>590</v>
      </c>
      <c r="D348" s="106" t="s">
        <v>583</v>
      </c>
      <c r="E348" s="106">
        <v>6</v>
      </c>
      <c r="F348" s="97">
        <v>5.8</v>
      </c>
      <c r="G348" s="67">
        <f>F348-F348*$I$1/100</f>
        <v>5.8</v>
      </c>
      <c r="H348" s="126"/>
      <c r="I348" s="69">
        <f t="shared" si="23"/>
        <v>0</v>
      </c>
      <c r="J348" s="50">
        <f t="shared" si="25"/>
        <v>0</v>
      </c>
      <c r="K348" s="51">
        <f t="shared" si="24"/>
        <v>0</v>
      </c>
      <c r="L348" s="24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</row>
    <row r="349" spans="1:43" ht="18.75" customHeight="1">
      <c r="A349" s="62">
        <v>4607116124550</v>
      </c>
      <c r="B349" s="63" t="s">
        <v>581</v>
      </c>
      <c r="C349" s="151" t="s">
        <v>591</v>
      </c>
      <c r="D349" s="106" t="s">
        <v>583</v>
      </c>
      <c r="E349" s="106">
        <v>6</v>
      </c>
      <c r="F349" s="97">
        <v>5.8</v>
      </c>
      <c r="G349" s="67">
        <f>F349-F349*$I$1/100</f>
        <v>5.8</v>
      </c>
      <c r="H349" s="126"/>
      <c r="I349" s="69">
        <f t="shared" si="23"/>
        <v>0</v>
      </c>
      <c r="J349" s="50">
        <f t="shared" si="25"/>
        <v>0</v>
      </c>
      <c r="K349" s="51">
        <f t="shared" si="24"/>
        <v>0</v>
      </c>
      <c r="L349" s="24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</row>
    <row r="350" spans="1:43" ht="18.75" customHeight="1">
      <c r="A350" s="62">
        <v>4607116124604</v>
      </c>
      <c r="B350" s="63" t="s">
        <v>581</v>
      </c>
      <c r="C350" s="151" t="s">
        <v>592</v>
      </c>
      <c r="D350" s="106" t="s">
        <v>583</v>
      </c>
      <c r="E350" s="106">
        <v>6</v>
      </c>
      <c r="F350" s="97">
        <v>5.8</v>
      </c>
      <c r="G350" s="67">
        <f>F350-F350*$I$1/100</f>
        <v>5.8</v>
      </c>
      <c r="H350" s="126"/>
      <c r="I350" s="69">
        <f t="shared" si="23"/>
        <v>0</v>
      </c>
      <c r="J350" s="50">
        <f t="shared" si="25"/>
        <v>0</v>
      </c>
      <c r="K350" s="51">
        <f t="shared" si="24"/>
        <v>0</v>
      </c>
      <c r="L350" s="24"/>
      <c r="M350" s="150"/>
      <c r="N350" s="150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</row>
    <row r="351" spans="1:43" ht="18.75" customHeight="1">
      <c r="A351" s="62">
        <v>4607116124574</v>
      </c>
      <c r="B351" s="63" t="s">
        <v>581</v>
      </c>
      <c r="C351" s="151" t="s">
        <v>593</v>
      </c>
      <c r="D351" s="106" t="s">
        <v>583</v>
      </c>
      <c r="E351" s="106">
        <v>6</v>
      </c>
      <c r="F351" s="97">
        <v>6.4</v>
      </c>
      <c r="G351" s="67">
        <f>F351-F351*$I$1/100</f>
        <v>6.4</v>
      </c>
      <c r="H351" s="126"/>
      <c r="I351" s="69">
        <f t="shared" si="23"/>
        <v>0</v>
      </c>
      <c r="J351" s="50">
        <f>H351*0.85</f>
        <v>0</v>
      </c>
      <c r="K351" s="51">
        <f t="shared" si="24"/>
        <v>0</v>
      </c>
      <c r="L351" s="24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</row>
    <row r="352" spans="1:43" ht="18.75" customHeight="1">
      <c r="A352" s="62">
        <v>4607116124680</v>
      </c>
      <c r="B352" s="63" t="s">
        <v>581</v>
      </c>
      <c r="C352" s="151" t="s">
        <v>594</v>
      </c>
      <c r="D352" s="106" t="s">
        <v>583</v>
      </c>
      <c r="E352" s="106">
        <v>6</v>
      </c>
      <c r="F352" s="97">
        <v>7.61</v>
      </c>
      <c r="G352" s="67">
        <f>F352-F352*$I$1/100</f>
        <v>7.61</v>
      </c>
      <c r="H352" s="126"/>
      <c r="I352" s="69">
        <f t="shared" si="23"/>
        <v>0</v>
      </c>
      <c r="J352" s="50">
        <f t="shared" si="25"/>
        <v>0</v>
      </c>
      <c r="K352" s="51">
        <f t="shared" si="24"/>
        <v>0</v>
      </c>
      <c r="L352" s="24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</row>
    <row r="353" spans="1:43" ht="18.75" customHeight="1">
      <c r="A353" s="62">
        <v>4607116124598</v>
      </c>
      <c r="B353" s="63" t="s">
        <v>581</v>
      </c>
      <c r="C353" s="151" t="s">
        <v>595</v>
      </c>
      <c r="D353" s="106" t="s">
        <v>583</v>
      </c>
      <c r="E353" s="106">
        <v>6</v>
      </c>
      <c r="F353" s="97">
        <v>5.76</v>
      </c>
      <c r="G353" s="67">
        <f>F353-F353*$I$1/100</f>
        <v>5.76</v>
      </c>
      <c r="H353" s="126"/>
      <c r="I353" s="69">
        <f t="shared" si="23"/>
        <v>0</v>
      </c>
      <c r="J353" s="50">
        <f t="shared" si="25"/>
        <v>0</v>
      </c>
      <c r="K353" s="51">
        <f t="shared" si="24"/>
        <v>0</v>
      </c>
      <c r="L353" s="24"/>
      <c r="M353" s="150"/>
      <c r="N353" s="150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</row>
    <row r="354" spans="1:43" ht="18.75" customHeight="1">
      <c r="A354" s="62">
        <v>4607116124611</v>
      </c>
      <c r="B354" s="63" t="s">
        <v>581</v>
      </c>
      <c r="C354" s="151" t="s">
        <v>596</v>
      </c>
      <c r="D354" s="106" t="s">
        <v>583</v>
      </c>
      <c r="E354" s="106">
        <v>6</v>
      </c>
      <c r="F354" s="97">
        <v>7.61</v>
      </c>
      <c r="G354" s="67">
        <f>F354-F354*$I$1/100</f>
        <v>7.61</v>
      </c>
      <c r="H354" s="126"/>
      <c r="I354" s="69">
        <f t="shared" si="23"/>
        <v>0</v>
      </c>
      <c r="J354" s="50">
        <f t="shared" si="25"/>
        <v>0</v>
      </c>
      <c r="K354" s="51">
        <f t="shared" si="24"/>
        <v>0</v>
      </c>
      <c r="L354" s="24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</row>
    <row r="355" spans="1:43" ht="18.75" customHeight="1">
      <c r="A355" s="62">
        <v>4607116124666</v>
      </c>
      <c r="B355" s="63" t="s">
        <v>581</v>
      </c>
      <c r="C355" s="151" t="s">
        <v>597</v>
      </c>
      <c r="D355" s="106" t="s">
        <v>583</v>
      </c>
      <c r="E355" s="106">
        <v>6</v>
      </c>
      <c r="F355" s="97">
        <v>5.27</v>
      </c>
      <c r="G355" s="67">
        <f>F355-F355*$I$1/100</f>
        <v>5.27</v>
      </c>
      <c r="H355" s="126"/>
      <c r="I355" s="69">
        <f t="shared" si="23"/>
        <v>0</v>
      </c>
      <c r="J355" s="50">
        <f t="shared" si="25"/>
        <v>0</v>
      </c>
      <c r="K355" s="51">
        <f t="shared" si="24"/>
        <v>0</v>
      </c>
      <c r="L355" s="24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</row>
    <row r="356" spans="1:43" ht="18.75" customHeight="1">
      <c r="A356" s="62">
        <v>4607116124659</v>
      </c>
      <c r="B356" s="63" t="s">
        <v>581</v>
      </c>
      <c r="C356" s="151" t="s">
        <v>598</v>
      </c>
      <c r="D356" s="106" t="s">
        <v>583</v>
      </c>
      <c r="E356" s="106">
        <v>6</v>
      </c>
      <c r="F356" s="97">
        <v>5.8</v>
      </c>
      <c r="G356" s="67">
        <f>F356-F356*$I$1/100</f>
        <v>5.8</v>
      </c>
      <c r="H356" s="126"/>
      <c r="I356" s="69">
        <f t="shared" si="23"/>
        <v>0</v>
      </c>
      <c r="J356" s="50">
        <f t="shared" si="25"/>
        <v>0</v>
      </c>
      <c r="K356" s="51">
        <f t="shared" si="24"/>
        <v>0</v>
      </c>
      <c r="L356" s="24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</row>
    <row r="357" spans="1:43" ht="18.75" customHeight="1">
      <c r="A357" s="62">
        <v>4607116124567</v>
      </c>
      <c r="B357" s="63" t="s">
        <v>581</v>
      </c>
      <c r="C357" s="151" t="s">
        <v>599</v>
      </c>
      <c r="D357" s="106" t="s">
        <v>583</v>
      </c>
      <c r="E357" s="106">
        <v>6</v>
      </c>
      <c r="F357" s="97">
        <v>5.8</v>
      </c>
      <c r="G357" s="67">
        <f>F357-F357*$I$1/100</f>
        <v>5.8</v>
      </c>
      <c r="H357" s="126"/>
      <c r="I357" s="69">
        <f t="shared" si="23"/>
        <v>0</v>
      </c>
      <c r="J357" s="50">
        <f t="shared" si="25"/>
        <v>0</v>
      </c>
      <c r="K357" s="51">
        <f t="shared" si="24"/>
        <v>0</v>
      </c>
      <c r="L357" s="24"/>
      <c r="M357" s="24"/>
      <c r="N357" s="24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</row>
    <row r="358" spans="1:43" ht="18.75" customHeight="1">
      <c r="A358" s="62">
        <v>4607116124635</v>
      </c>
      <c r="B358" s="63" t="s">
        <v>581</v>
      </c>
      <c r="C358" s="151" t="s">
        <v>600</v>
      </c>
      <c r="D358" s="106" t="s">
        <v>583</v>
      </c>
      <c r="E358" s="106">
        <v>6</v>
      </c>
      <c r="F358" s="97">
        <v>7.61</v>
      </c>
      <c r="G358" s="67">
        <f>F358-F358*$I$1/100</f>
        <v>7.61</v>
      </c>
      <c r="H358" s="126"/>
      <c r="I358" s="69">
        <f t="shared" si="23"/>
        <v>0</v>
      </c>
      <c r="J358" s="50">
        <f t="shared" si="25"/>
        <v>0</v>
      </c>
      <c r="K358" s="51">
        <f t="shared" si="24"/>
        <v>0</v>
      </c>
      <c r="L358" s="24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</row>
    <row r="359" spans="1:43" ht="18.75" customHeight="1">
      <c r="A359" s="62">
        <v>4607116124710</v>
      </c>
      <c r="B359" s="63" t="s">
        <v>581</v>
      </c>
      <c r="C359" s="151" t="s">
        <v>601</v>
      </c>
      <c r="D359" s="106" t="s">
        <v>583</v>
      </c>
      <c r="E359" s="106">
        <v>6</v>
      </c>
      <c r="F359" s="97">
        <v>9.59</v>
      </c>
      <c r="G359" s="67">
        <f>F359-F359*$I$1/100</f>
        <v>9.59</v>
      </c>
      <c r="H359" s="126"/>
      <c r="I359" s="69">
        <f t="shared" si="23"/>
        <v>0</v>
      </c>
      <c r="J359" s="50">
        <f t="shared" si="25"/>
        <v>0</v>
      </c>
      <c r="K359" s="51">
        <f t="shared" si="24"/>
        <v>0</v>
      </c>
      <c r="L359" s="24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</row>
    <row r="360" spans="1:43" ht="18.75" customHeight="1">
      <c r="A360" s="62">
        <v>4607116124703</v>
      </c>
      <c r="B360" s="63" t="s">
        <v>581</v>
      </c>
      <c r="C360" s="151" t="s">
        <v>602</v>
      </c>
      <c r="D360" s="106" t="s">
        <v>583</v>
      </c>
      <c r="E360" s="106">
        <v>6</v>
      </c>
      <c r="F360" s="97">
        <v>5.8</v>
      </c>
      <c r="G360" s="67">
        <f>F360-F360*$I$1/100</f>
        <v>5.8</v>
      </c>
      <c r="H360" s="126"/>
      <c r="I360" s="69">
        <f t="shared" si="23"/>
        <v>0</v>
      </c>
      <c r="J360" s="50">
        <f>H360*0.85</f>
        <v>0</v>
      </c>
      <c r="K360" s="51">
        <f t="shared" si="24"/>
        <v>0</v>
      </c>
      <c r="L360" s="24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</row>
    <row r="361" spans="1:43" ht="18.75" customHeight="1">
      <c r="A361" s="62">
        <v>4630163680816</v>
      </c>
      <c r="B361" s="63" t="s">
        <v>581</v>
      </c>
      <c r="C361" s="151" t="s">
        <v>603</v>
      </c>
      <c r="D361" s="106" t="s">
        <v>583</v>
      </c>
      <c r="E361" s="106">
        <v>6</v>
      </c>
      <c r="F361" s="97">
        <v>5.8</v>
      </c>
      <c r="G361" s="67">
        <f>F361-F361*$I$1/100</f>
        <v>5.8</v>
      </c>
      <c r="H361" s="126"/>
      <c r="I361" s="69">
        <f t="shared" si="23"/>
        <v>0</v>
      </c>
      <c r="J361" s="50">
        <f>H361*0.85</f>
        <v>0</v>
      </c>
      <c r="K361" s="51">
        <f t="shared" si="24"/>
        <v>0</v>
      </c>
      <c r="L361" s="24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</row>
    <row r="362" spans="1:43" ht="18.75" customHeight="1">
      <c r="A362" s="62">
        <v>4607116126462</v>
      </c>
      <c r="B362" s="63" t="s">
        <v>581</v>
      </c>
      <c r="C362" s="102" t="s">
        <v>604</v>
      </c>
      <c r="D362" s="106" t="s">
        <v>583</v>
      </c>
      <c r="E362" s="106">
        <v>6</v>
      </c>
      <c r="F362" s="97">
        <v>5.8</v>
      </c>
      <c r="G362" s="67">
        <f>F362-F362*$I$1/100</f>
        <v>5.8</v>
      </c>
      <c r="H362" s="126"/>
      <c r="I362" s="69">
        <f t="shared" si="23"/>
        <v>0</v>
      </c>
      <c r="J362" s="50">
        <f>H362*0.9</f>
        <v>0</v>
      </c>
      <c r="K362" s="51">
        <f t="shared" si="24"/>
        <v>0</v>
      </c>
      <c r="L362" s="24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</row>
    <row r="363" spans="1:43" ht="18.75" customHeight="1">
      <c r="A363" s="62">
        <v>4607116126486</v>
      </c>
      <c r="B363" s="63" t="s">
        <v>581</v>
      </c>
      <c r="C363" s="102" t="s">
        <v>605</v>
      </c>
      <c r="D363" s="106" t="s">
        <v>583</v>
      </c>
      <c r="E363" s="106">
        <v>6</v>
      </c>
      <c r="F363" s="97">
        <v>5.8</v>
      </c>
      <c r="G363" s="67">
        <f>F363-F363*$I$1/100</f>
        <v>5.8</v>
      </c>
      <c r="H363" s="126"/>
      <c r="I363" s="69">
        <f t="shared" si="23"/>
        <v>0</v>
      </c>
      <c r="J363" s="50">
        <f>H363*0.9</f>
        <v>0</v>
      </c>
      <c r="K363" s="51">
        <f t="shared" si="24"/>
        <v>0</v>
      </c>
      <c r="L363" s="24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</row>
    <row r="364" spans="1:43" ht="18.75" customHeight="1">
      <c r="A364" s="62">
        <v>4607116124673</v>
      </c>
      <c r="B364" s="63" t="s">
        <v>581</v>
      </c>
      <c r="C364" s="151" t="s">
        <v>606</v>
      </c>
      <c r="D364" s="106" t="s">
        <v>583</v>
      </c>
      <c r="E364" s="106">
        <v>6</v>
      </c>
      <c r="F364" s="97">
        <v>5.76</v>
      </c>
      <c r="G364" s="67">
        <f>F364-F364*$I$1/100</f>
        <v>5.76</v>
      </c>
      <c r="H364" s="126"/>
      <c r="I364" s="69">
        <f>G364*H364</f>
        <v>0</v>
      </c>
      <c r="J364" s="50">
        <f>H364*0.85</f>
        <v>0</v>
      </c>
      <c r="K364" s="51">
        <f t="shared" si="24"/>
        <v>0</v>
      </c>
      <c r="L364" s="24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</row>
    <row r="365" spans="1:43" ht="12.75">
      <c r="A365" s="32" t="s">
        <v>607</v>
      </c>
      <c r="B365" s="32"/>
      <c r="C365" s="32"/>
      <c r="D365" s="32"/>
      <c r="E365" s="32"/>
      <c r="F365" s="32"/>
      <c r="G365" s="32"/>
      <c r="H365" s="32"/>
      <c r="I365" s="61"/>
      <c r="J365" s="40"/>
      <c r="K365" s="41"/>
      <c r="L365" s="24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</row>
    <row r="366" spans="1:43" ht="12.75">
      <c r="A366" s="62">
        <v>4607116121863</v>
      </c>
      <c r="B366" s="63" t="s">
        <v>608</v>
      </c>
      <c r="C366" s="151" t="s">
        <v>609</v>
      </c>
      <c r="D366" s="70" t="s">
        <v>610</v>
      </c>
      <c r="E366" s="70">
        <v>2</v>
      </c>
      <c r="F366" s="84">
        <v>36.54</v>
      </c>
      <c r="G366" s="85">
        <f>F366-F366*$I$1/100</f>
        <v>36.54</v>
      </c>
      <c r="H366" s="152"/>
      <c r="I366" s="69">
        <f aca="true" t="shared" si="26" ref="I366:I383">G366*H366</f>
        <v>0</v>
      </c>
      <c r="J366" s="50">
        <f>H366*4.2</f>
        <v>0</v>
      </c>
      <c r="K366" s="51">
        <f>H366*3.5</f>
        <v>0</v>
      </c>
      <c r="L366" s="24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</row>
    <row r="367" spans="1:43" s="9" customFormat="1" ht="12.75">
      <c r="A367" s="62">
        <v>4607116121696</v>
      </c>
      <c r="B367" s="63" t="s">
        <v>608</v>
      </c>
      <c r="C367" s="151" t="s">
        <v>611</v>
      </c>
      <c r="D367" s="70" t="s">
        <v>610</v>
      </c>
      <c r="E367" s="70">
        <v>2</v>
      </c>
      <c r="F367" s="84">
        <v>36.54</v>
      </c>
      <c r="G367" s="85">
        <f>F367-F367*$I$1/100</f>
        <v>36.54</v>
      </c>
      <c r="H367" s="152"/>
      <c r="I367" s="69">
        <f t="shared" si="26"/>
        <v>0</v>
      </c>
      <c r="J367" s="50">
        <f>H367*4.2</f>
        <v>0</v>
      </c>
      <c r="K367" s="51">
        <f>H367*3.5</f>
        <v>0</v>
      </c>
      <c r="L367" s="24"/>
      <c r="M367" s="142"/>
      <c r="N367" s="142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</row>
    <row r="368" spans="1:43" s="9" customFormat="1" ht="12.75">
      <c r="A368" s="62">
        <v>4607116121702</v>
      </c>
      <c r="B368" s="63" t="s">
        <v>608</v>
      </c>
      <c r="C368" s="151" t="s">
        <v>612</v>
      </c>
      <c r="D368" s="70" t="s">
        <v>610</v>
      </c>
      <c r="E368" s="70">
        <v>2</v>
      </c>
      <c r="F368" s="84">
        <v>36.54</v>
      </c>
      <c r="G368" s="85">
        <f>F368-F368*$I$1/100</f>
        <v>36.54</v>
      </c>
      <c r="H368" s="152"/>
      <c r="I368" s="69">
        <f t="shared" si="26"/>
        <v>0</v>
      </c>
      <c r="J368" s="50">
        <f>H368*4.25</f>
        <v>0</v>
      </c>
      <c r="K368" s="51">
        <f>H368*3.5</f>
        <v>0</v>
      </c>
      <c r="L368" s="24"/>
      <c r="M368" s="142"/>
      <c r="N368" s="142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</row>
    <row r="369" spans="1:43" s="9" customFormat="1" ht="12.75">
      <c r="A369" s="62">
        <v>4607116121719</v>
      </c>
      <c r="B369" s="63" t="s">
        <v>608</v>
      </c>
      <c r="C369" s="151" t="s">
        <v>613</v>
      </c>
      <c r="D369" s="70" t="s">
        <v>610</v>
      </c>
      <c r="E369" s="70">
        <v>2</v>
      </c>
      <c r="F369" s="84">
        <v>36.54</v>
      </c>
      <c r="G369" s="85">
        <f>F369-F369*$I$1/100</f>
        <v>36.54</v>
      </c>
      <c r="H369" s="152"/>
      <c r="I369" s="69">
        <f t="shared" si="26"/>
        <v>0</v>
      </c>
      <c r="J369" s="50">
        <f>H369*4.2</f>
        <v>0</v>
      </c>
      <c r="K369" s="51">
        <f>H369*3.5</f>
        <v>0</v>
      </c>
      <c r="L369" s="24"/>
      <c r="M369" s="142"/>
      <c r="N369" s="142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</row>
    <row r="370" spans="1:43" s="18" customFormat="1" ht="12.75">
      <c r="A370" s="62">
        <v>4607116121726</v>
      </c>
      <c r="B370" s="63" t="s">
        <v>559</v>
      </c>
      <c r="C370" s="151" t="s">
        <v>614</v>
      </c>
      <c r="D370" s="70" t="s">
        <v>107</v>
      </c>
      <c r="E370" s="70">
        <v>6</v>
      </c>
      <c r="F370" s="84">
        <v>10.44</v>
      </c>
      <c r="G370" s="85">
        <f>F370-F370*$I$1/100</f>
        <v>10.44</v>
      </c>
      <c r="H370" s="152"/>
      <c r="I370" s="69">
        <f t="shared" si="26"/>
        <v>0</v>
      </c>
      <c r="J370" s="50">
        <f>H370*1.08</f>
        <v>0</v>
      </c>
      <c r="K370" s="51">
        <f>H370*1</f>
        <v>0</v>
      </c>
      <c r="L370" s="24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</row>
    <row r="371" spans="1:43" s="18" customFormat="1" ht="12.75">
      <c r="A371" s="62">
        <v>4607116121733</v>
      </c>
      <c r="B371" s="63" t="s">
        <v>608</v>
      </c>
      <c r="C371" s="151" t="s">
        <v>615</v>
      </c>
      <c r="D371" s="70" t="s">
        <v>610</v>
      </c>
      <c r="E371" s="70">
        <v>2</v>
      </c>
      <c r="F371" s="84">
        <v>36.54</v>
      </c>
      <c r="G371" s="85">
        <f>F371-F371*$I$1/100</f>
        <v>36.54</v>
      </c>
      <c r="H371" s="152"/>
      <c r="I371" s="69">
        <f t="shared" si="26"/>
        <v>0</v>
      </c>
      <c r="J371" s="50">
        <f>H371*4</f>
        <v>0</v>
      </c>
      <c r="K371" s="51">
        <f>H371*3.5</f>
        <v>0</v>
      </c>
      <c r="L371" s="24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</row>
    <row r="372" spans="1:43" s="18" customFormat="1" ht="12.75">
      <c r="A372" s="62">
        <v>4607116121740</v>
      </c>
      <c r="B372" s="63" t="s">
        <v>608</v>
      </c>
      <c r="C372" s="151" t="s">
        <v>616</v>
      </c>
      <c r="D372" s="70" t="s">
        <v>610</v>
      </c>
      <c r="E372" s="70">
        <v>2</v>
      </c>
      <c r="F372" s="84">
        <v>36.54</v>
      </c>
      <c r="G372" s="85">
        <f>F372-F372*$I$1/100</f>
        <v>36.54</v>
      </c>
      <c r="H372" s="152"/>
      <c r="I372" s="69">
        <f t="shared" si="26"/>
        <v>0</v>
      </c>
      <c r="J372" s="50">
        <f>H372*4.35</f>
        <v>0</v>
      </c>
      <c r="K372" s="51">
        <f>H372*3.5</f>
        <v>0</v>
      </c>
      <c r="L372" s="24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</row>
    <row r="373" spans="1:43" s="18" customFormat="1" ht="12.75">
      <c r="A373" s="62">
        <v>4607116121757</v>
      </c>
      <c r="B373" s="63" t="s">
        <v>559</v>
      </c>
      <c r="C373" s="151" t="s">
        <v>617</v>
      </c>
      <c r="D373" s="70" t="s">
        <v>107</v>
      </c>
      <c r="E373" s="70">
        <v>6</v>
      </c>
      <c r="F373" s="84">
        <v>10.44</v>
      </c>
      <c r="G373" s="85">
        <f>F373-F373*$I$1/100</f>
        <v>10.44</v>
      </c>
      <c r="H373" s="152"/>
      <c r="I373" s="69">
        <f t="shared" si="26"/>
        <v>0</v>
      </c>
      <c r="J373" s="50">
        <f>H373*1.08</f>
        <v>0</v>
      </c>
      <c r="K373" s="51">
        <f>H373*1</f>
        <v>0</v>
      </c>
      <c r="L373" s="24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</row>
    <row r="374" spans="1:43" s="18" customFormat="1" ht="12.75">
      <c r="A374" s="62">
        <v>4607116121764</v>
      </c>
      <c r="B374" s="63" t="s">
        <v>559</v>
      </c>
      <c r="C374" s="151" t="s">
        <v>618</v>
      </c>
      <c r="D374" s="70" t="s">
        <v>107</v>
      </c>
      <c r="E374" s="70">
        <v>6</v>
      </c>
      <c r="F374" s="84">
        <v>10.44</v>
      </c>
      <c r="G374" s="85">
        <f>F374-F374*$I$1/100</f>
        <v>10.44</v>
      </c>
      <c r="H374" s="152"/>
      <c r="I374" s="69">
        <f t="shared" si="26"/>
        <v>0</v>
      </c>
      <c r="J374" s="50">
        <f>H374*1.033</f>
        <v>0</v>
      </c>
      <c r="K374" s="51">
        <f>H374*1</f>
        <v>0</v>
      </c>
      <c r="L374" s="24"/>
      <c r="M374" s="159"/>
      <c r="N374" s="159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</row>
    <row r="375" spans="1:43" s="18" customFormat="1" ht="12.75">
      <c r="A375" s="62">
        <v>4607116121771</v>
      </c>
      <c r="B375" s="63" t="s">
        <v>608</v>
      </c>
      <c r="C375" s="151" t="s">
        <v>619</v>
      </c>
      <c r="D375" s="70" t="s">
        <v>610</v>
      </c>
      <c r="E375" s="70">
        <v>2</v>
      </c>
      <c r="F375" s="84">
        <v>36.54</v>
      </c>
      <c r="G375" s="85">
        <f>F375-F375*$I$1/100</f>
        <v>36.54</v>
      </c>
      <c r="H375" s="152"/>
      <c r="I375" s="69">
        <f t="shared" si="26"/>
        <v>0</v>
      </c>
      <c r="J375" s="50">
        <f>H375*3.8</f>
        <v>0</v>
      </c>
      <c r="K375" s="51">
        <f>H375*3.5</f>
        <v>0</v>
      </c>
      <c r="L375" s="24"/>
      <c r="M375" s="159"/>
      <c r="N375" s="159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</row>
    <row r="376" spans="1:43" s="18" customFormat="1" ht="12.75">
      <c r="A376" s="62">
        <v>4607116121788</v>
      </c>
      <c r="B376" s="63" t="s">
        <v>608</v>
      </c>
      <c r="C376" s="151" t="s">
        <v>620</v>
      </c>
      <c r="D376" s="70" t="s">
        <v>610</v>
      </c>
      <c r="E376" s="70">
        <v>2</v>
      </c>
      <c r="F376" s="84">
        <v>36.54</v>
      </c>
      <c r="G376" s="85">
        <f>F376-F376*$I$1/100</f>
        <v>36.54</v>
      </c>
      <c r="H376" s="152"/>
      <c r="I376" s="69">
        <f t="shared" si="26"/>
        <v>0</v>
      </c>
      <c r="J376" s="50">
        <f>H376*4.2</f>
        <v>0</v>
      </c>
      <c r="K376" s="51">
        <f>H376*3.5</f>
        <v>0</v>
      </c>
      <c r="L376" s="24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</row>
    <row r="377" spans="1:43" s="18" customFormat="1" ht="12.75">
      <c r="A377" s="62">
        <v>4607116121795</v>
      </c>
      <c r="B377" s="63" t="s">
        <v>559</v>
      </c>
      <c r="C377" s="151" t="s">
        <v>621</v>
      </c>
      <c r="D377" s="70" t="s">
        <v>107</v>
      </c>
      <c r="E377" s="70">
        <v>6</v>
      </c>
      <c r="F377" s="84">
        <v>10.44</v>
      </c>
      <c r="G377" s="85">
        <f>F377-F377*$I$1/100</f>
        <v>10.44</v>
      </c>
      <c r="H377" s="152"/>
      <c r="I377" s="69">
        <f t="shared" si="26"/>
        <v>0</v>
      </c>
      <c r="J377" s="50">
        <f>H377*1.07</f>
        <v>0</v>
      </c>
      <c r="K377" s="51">
        <f>H377*1</f>
        <v>0</v>
      </c>
      <c r="L377" s="24"/>
      <c r="M377" s="158"/>
      <c r="N377" s="158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</row>
    <row r="378" spans="1:43" s="18" customFormat="1" ht="12.75">
      <c r="A378" s="62">
        <v>4607116121801</v>
      </c>
      <c r="B378" s="63" t="s">
        <v>608</v>
      </c>
      <c r="C378" s="151" t="s">
        <v>622</v>
      </c>
      <c r="D378" s="70" t="s">
        <v>610</v>
      </c>
      <c r="E378" s="70">
        <v>2</v>
      </c>
      <c r="F378" s="84">
        <v>36.54</v>
      </c>
      <c r="G378" s="85">
        <f>F378-F378*$I$1/100</f>
        <v>36.54</v>
      </c>
      <c r="H378" s="152"/>
      <c r="I378" s="69">
        <f t="shared" si="26"/>
        <v>0</v>
      </c>
      <c r="J378" s="50">
        <f>H378*4</f>
        <v>0</v>
      </c>
      <c r="K378" s="51">
        <f>H378*3.5</f>
        <v>0</v>
      </c>
      <c r="L378" s="24"/>
      <c r="M378" s="158"/>
      <c r="N378" s="158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</row>
    <row r="379" spans="1:43" s="18" customFormat="1" ht="12.75">
      <c r="A379" s="62">
        <v>4607116121818</v>
      </c>
      <c r="B379" s="63" t="s">
        <v>559</v>
      </c>
      <c r="C379" s="151" t="s">
        <v>623</v>
      </c>
      <c r="D379" s="70" t="s">
        <v>107</v>
      </c>
      <c r="E379" s="70">
        <v>6</v>
      </c>
      <c r="F379" s="84">
        <v>10.44</v>
      </c>
      <c r="G379" s="85">
        <f>F379-F379*$I$1/100</f>
        <v>10.44</v>
      </c>
      <c r="H379" s="152"/>
      <c r="I379" s="69">
        <f t="shared" si="26"/>
        <v>0</v>
      </c>
      <c r="J379" s="50">
        <f>H379*1.0833</f>
        <v>0</v>
      </c>
      <c r="K379" s="51">
        <f>H379*1</f>
        <v>0</v>
      </c>
      <c r="L379" s="24"/>
      <c r="M379" s="159"/>
      <c r="N379" s="159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</row>
    <row r="380" spans="1:43" s="18" customFormat="1" ht="12.75">
      <c r="A380" s="62">
        <v>4607116121825</v>
      </c>
      <c r="B380" s="63" t="s">
        <v>608</v>
      </c>
      <c r="C380" s="151" t="s">
        <v>624</v>
      </c>
      <c r="D380" s="70" t="s">
        <v>610</v>
      </c>
      <c r="E380" s="70">
        <v>2</v>
      </c>
      <c r="F380" s="84">
        <v>36.54</v>
      </c>
      <c r="G380" s="85">
        <f>F380-F380*$I$1/100</f>
        <v>36.54</v>
      </c>
      <c r="H380" s="152"/>
      <c r="I380" s="69">
        <f t="shared" si="26"/>
        <v>0</v>
      </c>
      <c r="J380" s="50">
        <f>H380*4.03</f>
        <v>0</v>
      </c>
      <c r="K380" s="51">
        <f>H380*3.5</f>
        <v>0</v>
      </c>
      <c r="L380" s="24"/>
      <c r="M380" s="25"/>
      <c r="N380" s="25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</row>
    <row r="381" spans="1:43" s="18" customFormat="1" ht="12.75">
      <c r="A381" s="62">
        <v>4607116121849</v>
      </c>
      <c r="B381" s="63" t="s">
        <v>559</v>
      </c>
      <c r="C381" s="151" t="s">
        <v>625</v>
      </c>
      <c r="D381" s="70" t="s">
        <v>107</v>
      </c>
      <c r="E381" s="70">
        <v>6</v>
      </c>
      <c r="F381" s="84">
        <v>10.44</v>
      </c>
      <c r="G381" s="85">
        <f>F381-F381*$I$1/100</f>
        <v>10.44</v>
      </c>
      <c r="H381" s="152"/>
      <c r="I381" s="69">
        <f>G381*H381</f>
        <v>0</v>
      </c>
      <c r="J381" s="50">
        <f>H381*1.0633</f>
        <v>0</v>
      </c>
      <c r="K381" s="51">
        <f>H381*1</f>
        <v>0</v>
      </c>
      <c r="L381" s="24"/>
      <c r="M381" s="25"/>
      <c r="N381" s="25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</row>
    <row r="382" spans="1:43" s="18" customFormat="1" ht="12.75">
      <c r="A382" s="62">
        <v>4630163684616</v>
      </c>
      <c r="B382" s="63" t="s">
        <v>608</v>
      </c>
      <c r="C382" s="151" t="s">
        <v>626</v>
      </c>
      <c r="D382" s="70" t="s">
        <v>610</v>
      </c>
      <c r="E382" s="70">
        <v>2</v>
      </c>
      <c r="F382" s="84">
        <v>36.54</v>
      </c>
      <c r="G382" s="85">
        <f>F382-F382*$I$1/100</f>
        <v>36.54</v>
      </c>
      <c r="H382" s="152"/>
      <c r="I382" s="69">
        <f t="shared" si="26"/>
        <v>0</v>
      </c>
      <c r="J382" s="50">
        <f>H382*4.2</f>
        <v>0</v>
      </c>
      <c r="K382" s="51">
        <f>H382*3.5</f>
        <v>0</v>
      </c>
      <c r="L382" s="25"/>
      <c r="M382" s="25"/>
      <c r="N382" s="25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</row>
    <row r="383" spans="1:43" s="18" customFormat="1" ht="17.25" customHeight="1">
      <c r="A383" s="62">
        <v>4607116121856</v>
      </c>
      <c r="B383" s="63" t="s">
        <v>608</v>
      </c>
      <c r="C383" s="151" t="s">
        <v>627</v>
      </c>
      <c r="D383" s="70" t="s">
        <v>610</v>
      </c>
      <c r="E383" s="70">
        <v>2</v>
      </c>
      <c r="F383" s="84">
        <v>36.54</v>
      </c>
      <c r="G383" s="85">
        <f>F383-F383*$I$1/100</f>
        <v>36.54</v>
      </c>
      <c r="H383" s="152"/>
      <c r="I383" s="69">
        <f t="shared" si="26"/>
        <v>0</v>
      </c>
      <c r="J383" s="50">
        <f>H383*3.8</f>
        <v>0</v>
      </c>
      <c r="K383" s="51">
        <f>H383*3.5</f>
        <v>0</v>
      </c>
      <c r="L383" s="25"/>
      <c r="M383" s="25"/>
      <c r="N383" s="25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</row>
    <row r="384" spans="1:43" s="16" customFormat="1" ht="18" customHeight="1">
      <c r="A384" s="32" t="s">
        <v>628</v>
      </c>
      <c r="B384" s="32"/>
      <c r="C384" s="32"/>
      <c r="D384" s="32"/>
      <c r="E384" s="32"/>
      <c r="F384" s="32"/>
      <c r="G384" s="32"/>
      <c r="H384" s="32"/>
      <c r="I384" s="87"/>
      <c r="J384" s="88"/>
      <c r="K384" s="89"/>
      <c r="L384" s="24"/>
      <c r="M384" s="25"/>
      <c r="N384" s="25"/>
      <c r="O384" s="142"/>
      <c r="P384" s="142"/>
      <c r="Q384" s="142"/>
      <c r="R384" s="142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</row>
    <row r="385" spans="1:43" ht="12.75">
      <c r="A385" s="62">
        <v>4607116123256</v>
      </c>
      <c r="B385" s="63" t="s">
        <v>629</v>
      </c>
      <c r="C385" s="151" t="s">
        <v>630</v>
      </c>
      <c r="D385" s="70" t="s">
        <v>610</v>
      </c>
      <c r="E385" s="70">
        <v>2</v>
      </c>
      <c r="F385" s="84">
        <v>39.99</v>
      </c>
      <c r="G385" s="85">
        <f>F385-F385*$I$1/100</f>
        <v>39.99</v>
      </c>
      <c r="H385" s="152"/>
      <c r="I385" s="69">
        <f>G385*H385</f>
        <v>0</v>
      </c>
      <c r="J385" s="50">
        <f>H385*3.6</f>
        <v>0</v>
      </c>
      <c r="K385" s="51">
        <f>H385*3.5</f>
        <v>0</v>
      </c>
      <c r="L385" s="24"/>
      <c r="M385" s="25"/>
      <c r="N385" s="25"/>
      <c r="O385" s="142"/>
      <c r="P385" s="142"/>
      <c r="Q385" s="142"/>
      <c r="R385" s="142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</row>
    <row r="386" spans="1:49" s="9" customFormat="1" ht="12.75">
      <c r="A386" s="62">
        <v>4607116124888</v>
      </c>
      <c r="B386" s="63" t="s">
        <v>453</v>
      </c>
      <c r="C386" s="151" t="s">
        <v>631</v>
      </c>
      <c r="D386" s="70" t="s">
        <v>107</v>
      </c>
      <c r="E386" s="70">
        <v>6</v>
      </c>
      <c r="F386" s="84">
        <v>14.38</v>
      </c>
      <c r="G386" s="85">
        <f>F386-F386*$I$1/100</f>
        <v>14.38</v>
      </c>
      <c r="H386" s="152"/>
      <c r="I386" s="69">
        <f aca="true" t="shared" si="27" ref="I386:I391">G386*H386</f>
        <v>0</v>
      </c>
      <c r="J386" s="50">
        <f>H386*1.2</f>
        <v>0</v>
      </c>
      <c r="K386" s="51">
        <f aca="true" t="shared" si="28" ref="K386:K391">H386*1</f>
        <v>0</v>
      </c>
      <c r="L386" s="24"/>
      <c r="M386" s="25"/>
      <c r="N386" s="25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  <c r="AU386" s="159"/>
      <c r="AV386" s="159"/>
      <c r="AW386" s="159"/>
    </row>
    <row r="387" spans="1:49" s="9" customFormat="1" ht="12.75">
      <c r="A387" s="62">
        <v>4607116124895</v>
      </c>
      <c r="B387" s="63" t="s">
        <v>453</v>
      </c>
      <c r="C387" s="151" t="s">
        <v>632</v>
      </c>
      <c r="D387" s="70" t="s">
        <v>107</v>
      </c>
      <c r="E387" s="70">
        <v>6</v>
      </c>
      <c r="F387" s="84">
        <v>14.38</v>
      </c>
      <c r="G387" s="85">
        <f>F387-F387*$I$1/100</f>
        <v>14.38</v>
      </c>
      <c r="H387" s="152"/>
      <c r="I387" s="69">
        <f t="shared" si="27"/>
        <v>0</v>
      </c>
      <c r="J387" s="50">
        <f>H387*1.2</f>
        <v>0</v>
      </c>
      <c r="K387" s="51">
        <f t="shared" si="28"/>
        <v>0</v>
      </c>
      <c r="L387" s="24"/>
      <c r="M387" s="25"/>
      <c r="N387" s="25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  <c r="AU387" s="159"/>
      <c r="AV387" s="159"/>
      <c r="AW387" s="159"/>
    </row>
    <row r="388" spans="1:43" ht="12.75">
      <c r="A388" s="62">
        <v>4607116124802</v>
      </c>
      <c r="B388" s="63" t="s">
        <v>453</v>
      </c>
      <c r="C388" s="151" t="s">
        <v>633</v>
      </c>
      <c r="D388" s="70" t="s">
        <v>107</v>
      </c>
      <c r="E388" s="70">
        <v>6</v>
      </c>
      <c r="F388" s="84">
        <v>14.38</v>
      </c>
      <c r="G388" s="85">
        <f>F388-F388*$I$1/100</f>
        <v>14.38</v>
      </c>
      <c r="H388" s="152"/>
      <c r="I388" s="69">
        <f t="shared" si="27"/>
        <v>0</v>
      </c>
      <c r="J388" s="50">
        <f>H388*1.2</f>
        <v>0</v>
      </c>
      <c r="K388" s="51">
        <f t="shared" si="28"/>
        <v>0</v>
      </c>
      <c r="L388" s="24"/>
      <c r="M388" s="25"/>
      <c r="N388" s="25"/>
      <c r="O388" s="158"/>
      <c r="P388" s="142"/>
      <c r="Q388" s="142"/>
      <c r="R388" s="142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</row>
    <row r="389" spans="1:43" ht="12.75">
      <c r="A389" s="62">
        <v>4607116124819</v>
      </c>
      <c r="B389" s="63" t="s">
        <v>453</v>
      </c>
      <c r="C389" s="151" t="s">
        <v>634</v>
      </c>
      <c r="D389" s="70" t="s">
        <v>107</v>
      </c>
      <c r="E389" s="70">
        <v>6</v>
      </c>
      <c r="F389" s="84">
        <v>14.38</v>
      </c>
      <c r="G389" s="85">
        <f>F389-F389*$I$1/100</f>
        <v>14.38</v>
      </c>
      <c r="H389" s="152"/>
      <c r="I389" s="69">
        <f t="shared" si="27"/>
        <v>0</v>
      </c>
      <c r="J389" s="50">
        <f>H389*1.1</f>
        <v>0</v>
      </c>
      <c r="K389" s="51">
        <f t="shared" si="28"/>
        <v>0</v>
      </c>
      <c r="L389" s="24"/>
      <c r="M389" s="25"/>
      <c r="N389" s="25"/>
      <c r="O389" s="158"/>
      <c r="P389" s="158"/>
      <c r="Q389" s="158"/>
      <c r="R389" s="142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</row>
    <row r="390" spans="1:43" ht="12.75">
      <c r="A390" s="62">
        <v>4607116124826</v>
      </c>
      <c r="B390" s="63" t="s">
        <v>453</v>
      </c>
      <c r="C390" s="151" t="s">
        <v>635</v>
      </c>
      <c r="D390" s="70" t="s">
        <v>107</v>
      </c>
      <c r="E390" s="70">
        <v>6</v>
      </c>
      <c r="F390" s="84">
        <v>14.38</v>
      </c>
      <c r="G390" s="85">
        <f>F390-F390*$I$1/100</f>
        <v>14.38</v>
      </c>
      <c r="H390" s="152"/>
      <c r="I390" s="69">
        <f t="shared" si="27"/>
        <v>0</v>
      </c>
      <c r="J390" s="50">
        <f>H390*1.2</f>
        <v>0</v>
      </c>
      <c r="K390" s="51">
        <f t="shared" si="28"/>
        <v>0</v>
      </c>
      <c r="L390" s="24"/>
      <c r="M390" s="25"/>
      <c r="N390" s="25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</row>
    <row r="391" spans="1:49" s="9" customFormat="1" ht="12.75">
      <c r="A391" s="62">
        <v>4607116122990</v>
      </c>
      <c r="B391" s="63" t="s">
        <v>453</v>
      </c>
      <c r="C391" s="151" t="s">
        <v>636</v>
      </c>
      <c r="D391" s="70" t="s">
        <v>107</v>
      </c>
      <c r="E391" s="70">
        <v>6</v>
      </c>
      <c r="F391" s="84">
        <v>16.48</v>
      </c>
      <c r="G391" s="85">
        <f>F391-F391*$I$1/100</f>
        <v>16.48</v>
      </c>
      <c r="H391" s="152"/>
      <c r="I391" s="69">
        <f t="shared" si="27"/>
        <v>0</v>
      </c>
      <c r="J391" s="50">
        <f>H391*1.1416</f>
        <v>0</v>
      </c>
      <c r="K391" s="51">
        <f t="shared" si="28"/>
        <v>0</v>
      </c>
      <c r="L391" s="24"/>
      <c r="M391" s="25"/>
      <c r="N391" s="25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</row>
    <row r="392" spans="1:43" ht="12.75">
      <c r="A392" s="32" t="s">
        <v>637</v>
      </c>
      <c r="B392" s="32"/>
      <c r="C392" s="32"/>
      <c r="D392" s="32"/>
      <c r="E392" s="32"/>
      <c r="F392" s="32"/>
      <c r="G392" s="32"/>
      <c r="H392" s="32"/>
      <c r="I392" s="87"/>
      <c r="J392" s="160"/>
      <c r="K392" s="161"/>
      <c r="L392" s="2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1:43" ht="18.75" customHeight="1">
      <c r="A393" s="62">
        <v>4607116125182</v>
      </c>
      <c r="B393" s="63"/>
      <c r="C393" s="151" t="s">
        <v>638</v>
      </c>
      <c r="D393" s="106" t="s">
        <v>639</v>
      </c>
      <c r="E393" s="106">
        <v>1</v>
      </c>
      <c r="F393" s="84">
        <v>9.73</v>
      </c>
      <c r="G393" s="67">
        <f>F393</f>
        <v>9.73</v>
      </c>
      <c r="H393" s="68"/>
      <c r="I393" s="69">
        <f>G393*H393</f>
        <v>0</v>
      </c>
      <c r="J393" s="162"/>
      <c r="K393" s="51">
        <f>H393*0.05</f>
        <v>0</v>
      </c>
      <c r="L393" s="24"/>
      <c r="M393" s="8"/>
      <c r="N393" s="8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:43" ht="18.75" customHeight="1">
      <c r="A394" s="62">
        <v>4607116125199</v>
      </c>
      <c r="B394" s="63"/>
      <c r="C394" s="151" t="s">
        <v>640</v>
      </c>
      <c r="D394" s="106" t="s">
        <v>639</v>
      </c>
      <c r="E394" s="106">
        <v>1</v>
      </c>
      <c r="F394" s="84">
        <v>4.66</v>
      </c>
      <c r="G394" s="67">
        <f>F394</f>
        <v>4.66</v>
      </c>
      <c r="H394" s="68"/>
      <c r="I394" s="69">
        <f>G394*H394</f>
        <v>0</v>
      </c>
      <c r="J394" s="162"/>
      <c r="K394" s="51">
        <f>H394*0.05</f>
        <v>0</v>
      </c>
      <c r="L394" s="24"/>
      <c r="M394" s="8"/>
      <c r="N394" s="8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:43" ht="18.75" customHeight="1">
      <c r="A395" s="62">
        <v>4607116125205</v>
      </c>
      <c r="B395" s="63"/>
      <c r="C395" s="151" t="s">
        <v>641</v>
      </c>
      <c r="D395" s="106" t="s">
        <v>639</v>
      </c>
      <c r="E395" s="106">
        <v>1</v>
      </c>
      <c r="F395" s="84">
        <v>4.34</v>
      </c>
      <c r="G395" s="67">
        <f>F395</f>
        <v>4.34</v>
      </c>
      <c r="H395" s="68"/>
      <c r="I395" s="69">
        <f>G395*H395</f>
        <v>0</v>
      </c>
      <c r="J395" s="162"/>
      <c r="K395" s="51">
        <f>H395*0.05</f>
        <v>0</v>
      </c>
      <c r="L395" s="24"/>
      <c r="M395" s="8"/>
      <c r="N395" s="8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1:43" ht="18.75" customHeight="1">
      <c r="A396" s="62">
        <v>4607116125212</v>
      </c>
      <c r="B396" s="63"/>
      <c r="C396" s="151" t="s">
        <v>642</v>
      </c>
      <c r="D396" s="106" t="s">
        <v>639</v>
      </c>
      <c r="E396" s="106">
        <v>1</v>
      </c>
      <c r="F396" s="84">
        <v>4.07</v>
      </c>
      <c r="G396" s="67">
        <f>F396</f>
        <v>4.07</v>
      </c>
      <c r="H396" s="68"/>
      <c r="I396" s="69">
        <f>G396*H396</f>
        <v>0</v>
      </c>
      <c r="J396" s="162"/>
      <c r="K396" s="51">
        <f>H396*0.05</f>
        <v>0</v>
      </c>
      <c r="L396" s="2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:43" s="16" customFormat="1" ht="18.75" customHeight="1">
      <c r="A397" s="144">
        <v>4607116125892</v>
      </c>
      <c r="B397" s="163"/>
      <c r="C397" s="113" t="s">
        <v>643</v>
      </c>
      <c r="D397" s="106" t="s">
        <v>639</v>
      </c>
      <c r="E397" s="106">
        <v>1</v>
      </c>
      <c r="F397" s="97">
        <v>23.99</v>
      </c>
      <c r="G397" s="72">
        <f>F397</f>
        <v>23.99</v>
      </c>
      <c r="H397" s="77"/>
      <c r="I397" s="164">
        <f>G397*H397</f>
        <v>0</v>
      </c>
      <c r="J397" s="165"/>
      <c r="K397" s="166">
        <f>H397*0.05</f>
        <v>0</v>
      </c>
      <c r="L397" s="148"/>
      <c r="M397" s="19"/>
      <c r="N397" s="19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</row>
    <row r="398" spans="1:43" ht="12.75">
      <c r="A398" s="32" t="s">
        <v>644</v>
      </c>
      <c r="B398" s="32"/>
      <c r="C398" s="32"/>
      <c r="D398" s="32"/>
      <c r="E398" s="32"/>
      <c r="F398" s="32"/>
      <c r="G398" s="32"/>
      <c r="H398" s="32"/>
      <c r="I398" s="87"/>
      <c r="J398" s="160"/>
      <c r="K398" s="161"/>
      <c r="L398" s="2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:44" ht="12.75">
      <c r="A399" s="62">
        <v>4607116127322</v>
      </c>
      <c r="B399" s="63" t="s">
        <v>645</v>
      </c>
      <c r="C399" s="167" t="s">
        <v>646</v>
      </c>
      <c r="D399" s="106" t="s">
        <v>647</v>
      </c>
      <c r="E399" s="106">
        <v>12</v>
      </c>
      <c r="F399" s="168">
        <v>1.16</v>
      </c>
      <c r="G399" s="72">
        <f>F399-F399*$I$1/100</f>
        <v>1.16</v>
      </c>
      <c r="H399" s="68"/>
      <c r="I399" s="98">
        <f aca="true" t="shared" si="29" ref="I399:I424">G399*H399</f>
        <v>0</v>
      </c>
      <c r="J399" s="50">
        <f>H399*0.64</f>
        <v>0</v>
      </c>
      <c r="K399" s="51">
        <f>H399*0.64</f>
        <v>0</v>
      </c>
      <c r="L399" s="116"/>
      <c r="M399" s="20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</row>
    <row r="400" spans="1:44" ht="12.75">
      <c r="A400" s="76">
        <v>4607116127339</v>
      </c>
      <c r="B400" s="63" t="s">
        <v>648</v>
      </c>
      <c r="C400" s="167" t="s">
        <v>649</v>
      </c>
      <c r="D400" s="106" t="s">
        <v>639</v>
      </c>
      <c r="E400" s="106">
        <v>50</v>
      </c>
      <c r="F400" s="168">
        <v>14.3</v>
      </c>
      <c r="G400" s="72">
        <f>F400-F400*$I$1/100</f>
        <v>14.3</v>
      </c>
      <c r="H400" s="68"/>
      <c r="I400" s="98">
        <f t="shared" si="29"/>
        <v>0</v>
      </c>
      <c r="J400" s="50">
        <f>H400*0.21</f>
        <v>0</v>
      </c>
      <c r="K400" s="51">
        <f>H400*0.21</f>
        <v>0</v>
      </c>
      <c r="L400" s="116"/>
      <c r="M400" s="20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</row>
    <row r="401" spans="1:44" ht="12.75">
      <c r="A401" s="76">
        <v>4607116127346</v>
      </c>
      <c r="B401" s="63" t="s">
        <v>650</v>
      </c>
      <c r="C401" s="167" t="s">
        <v>651</v>
      </c>
      <c r="D401" s="106" t="s">
        <v>639</v>
      </c>
      <c r="E401" s="106">
        <v>50</v>
      </c>
      <c r="F401" s="168">
        <v>14.3</v>
      </c>
      <c r="G401" s="72">
        <f>F401-F401*$I$1/100</f>
        <v>14.3</v>
      </c>
      <c r="H401" s="68"/>
      <c r="I401" s="98">
        <f>G401*H401</f>
        <v>0</v>
      </c>
      <c r="J401" s="50">
        <f>H401*0.21</f>
        <v>0</v>
      </c>
      <c r="K401" s="51">
        <f>H401*0.21</f>
        <v>0</v>
      </c>
      <c r="L401" s="116"/>
      <c r="M401" s="20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</row>
    <row r="402" spans="1:44" ht="12.75">
      <c r="A402" s="76">
        <v>4607116127353</v>
      </c>
      <c r="B402" s="63" t="s">
        <v>652</v>
      </c>
      <c r="C402" s="167" t="s">
        <v>653</v>
      </c>
      <c r="D402" s="106" t="s">
        <v>639</v>
      </c>
      <c r="E402" s="106">
        <v>50</v>
      </c>
      <c r="F402" s="168">
        <v>14.3</v>
      </c>
      <c r="G402" s="72">
        <f>F402-F402*$I$1/100</f>
        <v>14.3</v>
      </c>
      <c r="H402" s="68"/>
      <c r="I402" s="98">
        <f t="shared" si="29"/>
        <v>0</v>
      </c>
      <c r="J402" s="50">
        <f>H402*0.21</f>
        <v>0</v>
      </c>
      <c r="K402" s="51">
        <f>H402*0.21</f>
        <v>0</v>
      </c>
      <c r="L402" s="116"/>
      <c r="M402" s="20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</row>
    <row r="403" spans="1:44" ht="12.75">
      <c r="A403" s="76">
        <v>4607116127360</v>
      </c>
      <c r="B403" s="63" t="s">
        <v>654</v>
      </c>
      <c r="C403" s="167" t="s">
        <v>655</v>
      </c>
      <c r="D403" s="106" t="s">
        <v>639</v>
      </c>
      <c r="E403" s="106">
        <v>50</v>
      </c>
      <c r="F403" s="168">
        <v>14.3</v>
      </c>
      <c r="G403" s="72">
        <f>F403-F403*$I$1/100</f>
        <v>14.3</v>
      </c>
      <c r="H403" s="68"/>
      <c r="I403" s="98">
        <f t="shared" si="29"/>
        <v>0</v>
      </c>
      <c r="J403" s="50">
        <f>H403*0.21</f>
        <v>0</v>
      </c>
      <c r="K403" s="51">
        <f>H403*0.21</f>
        <v>0</v>
      </c>
      <c r="L403" s="116"/>
      <c r="M403" s="20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</row>
    <row r="404" spans="1:44" ht="12.75">
      <c r="A404" s="62">
        <v>4607116126349</v>
      </c>
      <c r="B404" s="63" t="s">
        <v>656</v>
      </c>
      <c r="C404" s="105" t="s">
        <v>657</v>
      </c>
      <c r="D404" s="106" t="s">
        <v>639</v>
      </c>
      <c r="E404" s="106">
        <v>200</v>
      </c>
      <c r="F404" s="97">
        <v>0.09</v>
      </c>
      <c r="G404" s="72">
        <f>F404-F404*$I$1/100</f>
        <v>0.09</v>
      </c>
      <c r="H404" s="68"/>
      <c r="I404" s="69">
        <f>G404*H404</f>
        <v>0</v>
      </c>
      <c r="J404" s="50">
        <f>H404*0.00555</f>
        <v>0</v>
      </c>
      <c r="K404" s="51">
        <f>H404*0.00555</f>
        <v>0</v>
      </c>
      <c r="L404" s="116"/>
      <c r="M404" s="20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:44" ht="12.75">
      <c r="A405" s="62">
        <v>4607116126356</v>
      </c>
      <c r="B405" s="63" t="s">
        <v>658</v>
      </c>
      <c r="C405" s="105" t="s">
        <v>659</v>
      </c>
      <c r="D405" s="106" t="s">
        <v>639</v>
      </c>
      <c r="E405" s="106">
        <v>200</v>
      </c>
      <c r="F405" s="97">
        <v>0.11</v>
      </c>
      <c r="G405" s="72">
        <f>F405-F405*$I$1/100</f>
        <v>0.11</v>
      </c>
      <c r="H405" s="68"/>
      <c r="I405" s="69">
        <f>G405*H405</f>
        <v>0</v>
      </c>
      <c r="J405" s="50">
        <f>H405*0.0086</f>
        <v>0</v>
      </c>
      <c r="K405" s="51">
        <f>H405*0.0086</f>
        <v>0</v>
      </c>
      <c r="L405" s="116"/>
      <c r="M405" s="20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:44" ht="12.75">
      <c r="A406" s="62">
        <v>4607116126363</v>
      </c>
      <c r="B406" s="63" t="s">
        <v>660</v>
      </c>
      <c r="C406" s="105" t="s">
        <v>661</v>
      </c>
      <c r="D406" s="106" t="s">
        <v>639</v>
      </c>
      <c r="E406" s="106">
        <v>200</v>
      </c>
      <c r="F406" s="97">
        <v>0.2</v>
      </c>
      <c r="G406" s="72">
        <f>F406-F406*$I$1/100</f>
        <v>0.2</v>
      </c>
      <c r="H406" s="68"/>
      <c r="I406" s="69">
        <f>G406*H406</f>
        <v>0</v>
      </c>
      <c r="J406" s="50">
        <f>H406*0.0148</f>
        <v>0</v>
      </c>
      <c r="K406" s="51">
        <f>H406*0.0148</f>
        <v>0</v>
      </c>
      <c r="L406" s="116"/>
      <c r="M406" s="20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:44" ht="12.75">
      <c r="A407" s="62">
        <v>4607116126585</v>
      </c>
      <c r="B407" s="63" t="s">
        <v>662</v>
      </c>
      <c r="C407" s="105" t="s">
        <v>663</v>
      </c>
      <c r="D407" s="106" t="s">
        <v>639</v>
      </c>
      <c r="E407" s="106">
        <v>200</v>
      </c>
      <c r="F407" s="97">
        <v>0.29</v>
      </c>
      <c r="G407" s="72">
        <f>F407-F407*$I$1/100</f>
        <v>0.29</v>
      </c>
      <c r="H407" s="68"/>
      <c r="I407" s="69">
        <f>G407*H407</f>
        <v>0</v>
      </c>
      <c r="J407" s="50">
        <f>H407*0.017</f>
        <v>0</v>
      </c>
      <c r="K407" s="51">
        <f>H407*0.017</f>
        <v>0</v>
      </c>
      <c r="L407" s="116"/>
      <c r="M407" s="20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:44" ht="18.75" customHeight="1">
      <c r="A408" s="62">
        <v>4607116126080</v>
      </c>
      <c r="B408" s="63" t="s">
        <v>664</v>
      </c>
      <c r="C408" s="105" t="s">
        <v>665</v>
      </c>
      <c r="D408" s="106" t="s">
        <v>639</v>
      </c>
      <c r="E408" s="106">
        <v>200</v>
      </c>
      <c r="F408" s="169">
        <v>0.17</v>
      </c>
      <c r="G408" s="72">
        <f>F408-F408*$I$1/100</f>
        <v>0.17</v>
      </c>
      <c r="H408" s="68"/>
      <c r="I408" s="69">
        <f t="shared" si="29"/>
        <v>0</v>
      </c>
      <c r="J408" s="50">
        <f>H408*0.01455</f>
        <v>0</v>
      </c>
      <c r="K408" s="51">
        <f>H408*0.01455</f>
        <v>0</v>
      </c>
      <c r="L408" s="104"/>
      <c r="M408" s="20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:44" ht="12.75">
      <c r="A409" s="62">
        <v>4607116126097</v>
      </c>
      <c r="B409" s="63" t="s">
        <v>666</v>
      </c>
      <c r="C409" s="105" t="s">
        <v>667</v>
      </c>
      <c r="D409" s="106" t="s">
        <v>639</v>
      </c>
      <c r="E409" s="106">
        <v>200</v>
      </c>
      <c r="F409" s="169">
        <v>0.22</v>
      </c>
      <c r="G409" s="72">
        <f>F409-F409*$I$1/100</f>
        <v>0.22</v>
      </c>
      <c r="H409" s="68"/>
      <c r="I409" s="69">
        <f t="shared" si="29"/>
        <v>0</v>
      </c>
      <c r="J409" s="50">
        <f>H409*0.022675</f>
        <v>0</v>
      </c>
      <c r="K409" s="51">
        <f>H409*0.022675</f>
        <v>0</v>
      </c>
      <c r="L409" s="104"/>
      <c r="M409" s="20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:44" ht="12.75">
      <c r="A410" s="62">
        <v>4607116126103</v>
      </c>
      <c r="B410" s="63" t="s">
        <v>668</v>
      </c>
      <c r="C410" s="105" t="s">
        <v>669</v>
      </c>
      <c r="D410" s="106" t="s">
        <v>639</v>
      </c>
      <c r="E410" s="106">
        <v>200</v>
      </c>
      <c r="F410" s="97">
        <v>0.38</v>
      </c>
      <c r="G410" s="72">
        <f>F410-F410*$I$1/100</f>
        <v>0.38</v>
      </c>
      <c r="H410" s="68"/>
      <c r="I410" s="69">
        <f t="shared" si="29"/>
        <v>0</v>
      </c>
      <c r="J410" s="50">
        <f>H410*0.03845</f>
        <v>0</v>
      </c>
      <c r="K410" s="51">
        <f>H410*0.03845</f>
        <v>0</v>
      </c>
      <c r="L410" s="104"/>
      <c r="M410" s="20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:44" ht="19.5" customHeight="1">
      <c r="A411" s="62">
        <v>4607116126578</v>
      </c>
      <c r="B411" s="63" t="s">
        <v>670</v>
      </c>
      <c r="C411" s="105" t="s">
        <v>671</v>
      </c>
      <c r="D411" s="106" t="s">
        <v>639</v>
      </c>
      <c r="E411" s="106">
        <v>200</v>
      </c>
      <c r="F411" s="97">
        <v>0.67</v>
      </c>
      <c r="G411" s="72">
        <f>F411-F411*$I$1/100</f>
        <v>0.67</v>
      </c>
      <c r="H411" s="68"/>
      <c r="I411" s="69">
        <f t="shared" si="29"/>
        <v>0</v>
      </c>
      <c r="J411" s="50">
        <f>H411*0.0458</f>
        <v>0</v>
      </c>
      <c r="K411" s="51">
        <f>0.0458*H411</f>
        <v>0</v>
      </c>
      <c r="L411" s="104"/>
      <c r="M411" s="20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:44" ht="12.75">
      <c r="A412" s="76">
        <v>4607116127315</v>
      </c>
      <c r="B412" s="63" t="s">
        <v>672</v>
      </c>
      <c r="C412" s="167" t="s">
        <v>673</v>
      </c>
      <c r="D412" s="106" t="s">
        <v>639</v>
      </c>
      <c r="E412" s="106">
        <v>200</v>
      </c>
      <c r="F412" s="97">
        <v>3.13</v>
      </c>
      <c r="G412" s="72">
        <f>F412-F412*$I$1/100</f>
        <v>3.13</v>
      </c>
      <c r="H412" s="68"/>
      <c r="I412" s="98">
        <f t="shared" si="29"/>
        <v>0</v>
      </c>
      <c r="J412" s="50">
        <f>H412*0.06</f>
        <v>0</v>
      </c>
      <c r="K412" s="51">
        <f>H412*0.06</f>
        <v>0</v>
      </c>
      <c r="L412" s="116"/>
      <c r="M412" s="20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:44" ht="12.75">
      <c r="A413" s="62">
        <v>4607116127247</v>
      </c>
      <c r="B413" s="63" t="s">
        <v>674</v>
      </c>
      <c r="C413" s="167" t="s">
        <v>675</v>
      </c>
      <c r="D413" s="106" t="s">
        <v>639</v>
      </c>
      <c r="E413" s="106">
        <v>50</v>
      </c>
      <c r="F413" s="168">
        <v>1.07</v>
      </c>
      <c r="G413" s="72">
        <f>F413-F413*$I$1/100</f>
        <v>1.07</v>
      </c>
      <c r="H413" s="68"/>
      <c r="I413" s="98">
        <f t="shared" si="29"/>
        <v>0</v>
      </c>
      <c r="J413" s="50">
        <f>H413*0.031</f>
        <v>0</v>
      </c>
      <c r="K413" s="51">
        <f>H413*0.031</f>
        <v>0</v>
      </c>
      <c r="L413" s="116"/>
      <c r="M413" s="20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:44" ht="12.75">
      <c r="A414" s="62">
        <v>4607116126370</v>
      </c>
      <c r="B414" s="63" t="s">
        <v>676</v>
      </c>
      <c r="C414" s="105" t="s">
        <v>677</v>
      </c>
      <c r="D414" s="106" t="s">
        <v>639</v>
      </c>
      <c r="E414" s="170">
        <v>1000</v>
      </c>
      <c r="F414" s="97">
        <v>0.04</v>
      </c>
      <c r="G414" s="72">
        <f>F414-F414*$I$1/100</f>
        <v>0.04</v>
      </c>
      <c r="H414" s="68"/>
      <c r="I414" s="69">
        <f t="shared" si="29"/>
        <v>0</v>
      </c>
      <c r="J414" s="50">
        <f>H414*0.00526</f>
        <v>0</v>
      </c>
      <c r="K414" s="51">
        <f>H414*0.00526</f>
        <v>0</v>
      </c>
      <c r="L414" s="116"/>
      <c r="M414" s="2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:43" ht="12.75">
      <c r="A415" s="62">
        <v>4607116123294</v>
      </c>
      <c r="B415" s="63" t="s">
        <v>678</v>
      </c>
      <c r="C415" s="105" t="s">
        <v>679</v>
      </c>
      <c r="D415" s="106" t="s">
        <v>680</v>
      </c>
      <c r="E415" s="106">
        <v>30</v>
      </c>
      <c r="F415" s="97">
        <v>0.77</v>
      </c>
      <c r="G415" s="72">
        <f>F415-F415*$I$1/100</f>
        <v>0.77</v>
      </c>
      <c r="H415" s="68"/>
      <c r="I415" s="98">
        <f t="shared" si="29"/>
        <v>0</v>
      </c>
      <c r="J415" s="101">
        <f>H415*0.125</f>
        <v>0</v>
      </c>
      <c r="K415" s="51">
        <f>H415*0.12</f>
        <v>0</v>
      </c>
      <c r="L415" s="116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1:43" ht="12.75">
      <c r="A416" s="62">
        <v>4607116123423</v>
      </c>
      <c r="B416" s="63" t="s">
        <v>681</v>
      </c>
      <c r="C416" s="105" t="s">
        <v>682</v>
      </c>
      <c r="D416" s="106" t="s">
        <v>680</v>
      </c>
      <c r="E416" s="106">
        <v>20</v>
      </c>
      <c r="F416" s="97">
        <v>1.05</v>
      </c>
      <c r="G416" s="72">
        <f>F416-F416*$I$1/100</f>
        <v>1.05</v>
      </c>
      <c r="H416" s="68"/>
      <c r="I416" s="98">
        <f t="shared" si="29"/>
        <v>0</v>
      </c>
      <c r="J416" s="101">
        <f>H416*0.17</f>
        <v>0</v>
      </c>
      <c r="K416" s="51">
        <f>H416*0.17</f>
        <v>0</v>
      </c>
      <c r="L416" s="116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1:43" ht="12.75">
      <c r="A417" s="171">
        <v>4607116127308</v>
      </c>
      <c r="B417" s="172" t="s">
        <v>683</v>
      </c>
      <c r="C417" s="173" t="s">
        <v>684</v>
      </c>
      <c r="D417" s="174" t="s">
        <v>639</v>
      </c>
      <c r="E417" s="174">
        <v>1</v>
      </c>
      <c r="F417" s="175">
        <v>31.37</v>
      </c>
      <c r="G417" s="72">
        <f>F417-F417*$I$1/100</f>
        <v>31.37</v>
      </c>
      <c r="H417" s="176"/>
      <c r="I417" s="177">
        <f t="shared" si="29"/>
        <v>0</v>
      </c>
      <c r="J417" s="101">
        <f>7.3*H417</f>
        <v>0</v>
      </c>
      <c r="K417" s="51">
        <f>7.3*H417</f>
        <v>0</v>
      </c>
      <c r="L417" s="116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1:44" ht="12.75">
      <c r="A418" s="62">
        <v>4607116126189</v>
      </c>
      <c r="B418" s="63" t="s">
        <v>685</v>
      </c>
      <c r="C418" s="105" t="s">
        <v>686</v>
      </c>
      <c r="D418" s="106" t="s">
        <v>639</v>
      </c>
      <c r="E418" s="106">
        <v>20</v>
      </c>
      <c r="F418" s="169">
        <v>13.7</v>
      </c>
      <c r="G418" s="72">
        <f>F418-F418*$I$1/100</f>
        <v>13.7</v>
      </c>
      <c r="H418" s="68"/>
      <c r="I418" s="69">
        <f t="shared" si="29"/>
        <v>0</v>
      </c>
      <c r="J418" s="50">
        <f>H418*0.66</f>
        <v>0</v>
      </c>
      <c r="K418" s="51">
        <f>H418*0.66</f>
        <v>0</v>
      </c>
      <c r="L418" s="116"/>
      <c r="M418" s="20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:43" ht="12.75">
      <c r="A419" s="62">
        <v>4607116120729</v>
      </c>
      <c r="B419" s="63" t="s">
        <v>687</v>
      </c>
      <c r="C419" s="105" t="s">
        <v>688</v>
      </c>
      <c r="D419" s="106" t="s">
        <v>689</v>
      </c>
      <c r="E419" s="106">
        <v>6</v>
      </c>
      <c r="F419" s="97">
        <v>4.54</v>
      </c>
      <c r="G419" s="72">
        <f>F419-F419*$I$1/100</f>
        <v>4.54</v>
      </c>
      <c r="H419" s="68"/>
      <c r="I419" s="69">
        <f t="shared" si="29"/>
        <v>0</v>
      </c>
      <c r="J419" s="50">
        <f>H419*0.1433</f>
        <v>0</v>
      </c>
      <c r="K419" s="51">
        <f>H419*0.05</f>
        <v>0</v>
      </c>
      <c r="L419" s="24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:43" s="9" customFormat="1" ht="12.75">
      <c r="A420" s="62">
        <v>4607116123638</v>
      </c>
      <c r="B420" s="63" t="s">
        <v>687</v>
      </c>
      <c r="C420" s="105" t="s">
        <v>690</v>
      </c>
      <c r="D420" s="106" t="s">
        <v>689</v>
      </c>
      <c r="E420" s="106">
        <v>6</v>
      </c>
      <c r="F420" s="97">
        <v>4.54</v>
      </c>
      <c r="G420" s="72">
        <f>F420-F420*$I$1/100</f>
        <v>4.54</v>
      </c>
      <c r="H420" s="68"/>
      <c r="I420" s="69">
        <f t="shared" si="29"/>
        <v>0</v>
      </c>
      <c r="J420" s="50">
        <f>H420*0.1433</f>
        <v>0</v>
      </c>
      <c r="K420" s="51">
        <f>H420*0.05</f>
        <v>0</v>
      </c>
      <c r="L420" s="24"/>
      <c r="M420" s="1"/>
      <c r="N420" s="1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ht="12.75">
      <c r="A421" s="62">
        <v>4607116123560</v>
      </c>
      <c r="B421" s="63" t="s">
        <v>687</v>
      </c>
      <c r="C421" s="105" t="s">
        <v>691</v>
      </c>
      <c r="D421" s="106" t="s">
        <v>689</v>
      </c>
      <c r="E421" s="106">
        <v>6</v>
      </c>
      <c r="F421" s="97">
        <v>4.54</v>
      </c>
      <c r="G421" s="72">
        <f>F421-F421*$I$1/100</f>
        <v>4.54</v>
      </c>
      <c r="H421" s="68"/>
      <c r="I421" s="69">
        <f t="shared" si="29"/>
        <v>0</v>
      </c>
      <c r="J421" s="50">
        <f>H421*0.1433</f>
        <v>0</v>
      </c>
      <c r="K421" s="51">
        <f>H421*0.05</f>
        <v>0</v>
      </c>
      <c r="L421" s="24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1:43" s="9" customFormat="1" ht="12.75">
      <c r="A422" s="62">
        <v>4607116121016</v>
      </c>
      <c r="B422" s="63" t="s">
        <v>692</v>
      </c>
      <c r="C422" s="105" t="s">
        <v>693</v>
      </c>
      <c r="D422" s="106" t="s">
        <v>694</v>
      </c>
      <c r="E422" s="106">
        <v>15</v>
      </c>
      <c r="F422" s="97">
        <v>1.4</v>
      </c>
      <c r="G422" s="72">
        <f>F422-F422*$I$1/100</f>
        <v>1.4</v>
      </c>
      <c r="H422" s="68"/>
      <c r="I422" s="69">
        <f t="shared" si="29"/>
        <v>0</v>
      </c>
      <c r="J422" s="50">
        <f>H422*0.07047</f>
        <v>0</v>
      </c>
      <c r="K422" s="51">
        <f>H422*0.08</f>
        <v>0</v>
      </c>
      <c r="L422" s="24"/>
      <c r="M422" s="1"/>
      <c r="N422" s="1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s="9" customFormat="1" ht="12.75">
      <c r="A423" s="62">
        <v>4607116121153</v>
      </c>
      <c r="B423" s="63" t="s">
        <v>695</v>
      </c>
      <c r="C423" s="105" t="s">
        <v>696</v>
      </c>
      <c r="D423" s="106" t="s">
        <v>694</v>
      </c>
      <c r="E423" s="106">
        <v>8</v>
      </c>
      <c r="F423" s="97">
        <v>1.84</v>
      </c>
      <c r="G423" s="72">
        <f>F423-F423*$I$1/100</f>
        <v>1.84</v>
      </c>
      <c r="H423" s="68"/>
      <c r="I423" s="69">
        <f t="shared" si="29"/>
        <v>0</v>
      </c>
      <c r="J423" s="50">
        <f>H423*0.3075</f>
        <v>0</v>
      </c>
      <c r="K423" s="51">
        <f>H423*0.15</f>
        <v>0</v>
      </c>
      <c r="L423" s="24"/>
      <c r="M423" s="1"/>
      <c r="N423" s="1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s="9" customFormat="1" ht="12.75">
      <c r="A424" s="62">
        <v>4607116120965</v>
      </c>
      <c r="B424" s="63" t="s">
        <v>697</v>
      </c>
      <c r="C424" s="105" t="s">
        <v>698</v>
      </c>
      <c r="D424" s="106" t="s">
        <v>699</v>
      </c>
      <c r="E424" s="106">
        <v>22</v>
      </c>
      <c r="F424" s="97">
        <v>1.55</v>
      </c>
      <c r="G424" s="72">
        <f>F424-F424*$I$1/100</f>
        <v>1.55</v>
      </c>
      <c r="H424" s="68"/>
      <c r="I424" s="69">
        <f t="shared" si="29"/>
        <v>0</v>
      </c>
      <c r="J424" s="50">
        <f>H424*0.1055</f>
        <v>0</v>
      </c>
      <c r="K424" s="51">
        <f>H424*0.05</f>
        <v>0</v>
      </c>
      <c r="L424" s="24"/>
      <c r="M424" s="1"/>
      <c r="N424" s="1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ht="12.75">
      <c r="A425" s="32"/>
      <c r="B425" s="32"/>
      <c r="C425" s="32"/>
      <c r="D425" s="32"/>
      <c r="E425" s="32"/>
      <c r="F425" s="32"/>
      <c r="G425" s="32"/>
      <c r="H425" s="32"/>
      <c r="I425" s="87"/>
      <c r="J425" s="160"/>
      <c r="K425" s="161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</sheetData>
  <sheetProtection/>
  <mergeCells count="22">
    <mergeCell ref="A340:I340"/>
    <mergeCell ref="A365:H365"/>
    <mergeCell ref="A384:I384"/>
    <mergeCell ref="A392:I392"/>
    <mergeCell ref="A398:I398"/>
    <mergeCell ref="A425:I425"/>
    <mergeCell ref="A126:I126"/>
    <mergeCell ref="A146:I146"/>
    <mergeCell ref="A156:I156"/>
    <mergeCell ref="A168:I168"/>
    <mergeCell ref="A214:I214"/>
    <mergeCell ref="A287:I287"/>
    <mergeCell ref="A9:H9"/>
    <mergeCell ref="A26:H26"/>
    <mergeCell ref="A40:H40"/>
    <mergeCell ref="A45:H45"/>
    <mergeCell ref="A79:H79"/>
    <mergeCell ref="A105:I105"/>
    <mergeCell ref="C1:F2"/>
    <mergeCell ref="D3:F3"/>
    <mergeCell ref="A5:I5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</cp:lastModifiedBy>
  <dcterms:created xsi:type="dcterms:W3CDTF">2023-01-27T22:02:46Z</dcterms:created>
  <dcterms:modified xsi:type="dcterms:W3CDTF">2023-01-27T22:07:41Z</dcterms:modified>
  <cp:category/>
  <cp:version/>
  <cp:contentType/>
  <cp:contentStatus/>
</cp:coreProperties>
</file>